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1940" windowHeight="6420" tabRatio="606" activeTab="7"/>
  </bookViews>
  <sheets>
    <sheet name="Income statement" sheetId="1" r:id="rId1"/>
    <sheet name="BS12.09" sheetId="2" state="hidden" r:id="rId2"/>
    <sheet name="balance sheet" sheetId="3" r:id="rId3"/>
    <sheet name="equity statement" sheetId="4" r:id="rId4"/>
    <sheet name="detail cashflow statem" sheetId="5" state="hidden" r:id="rId5"/>
    <sheet name="key info" sheetId="6" state="hidden" r:id="rId6"/>
    <sheet name="CF12.09" sheetId="7" state="hidden" r:id="rId7"/>
    <sheet name="cashflow" sheetId="8" r:id="rId8"/>
    <sheet name="cashflow.org" sheetId="9" state="hidden" r:id="rId9"/>
    <sheet name="collect &amp; paym period" sheetId="10" state="hidden" r:id="rId10"/>
    <sheet name="Hossb.cashflow projection" sheetId="11" state="hidden" r:id="rId11"/>
    <sheet name="Group OD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">'cashflow.org'!$G$14:$G$16</definedName>
    <definedName name="_xlnm.Print_Area" localSheetId="8">'cashflow.org'!$B$1:$K$81</definedName>
    <definedName name="_xlnm.Print_Area" localSheetId="3">'equity statement'!$A$1:$J$37</definedName>
    <definedName name="_xlnm.Print_Area" localSheetId="0">'Income statement'!$A$1:$O$68</definedName>
  </definedNames>
  <calcPr fullCalcOnLoad="1"/>
</workbook>
</file>

<file path=xl/sharedStrings.xml><?xml version="1.0" encoding="utf-8"?>
<sst xmlns="http://schemas.openxmlformats.org/spreadsheetml/2006/main" count="618" uniqueCount="404">
  <si>
    <t>RM’000</t>
  </si>
  <si>
    <t>Revenue</t>
  </si>
  <si>
    <t>Profit before taxation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</si>
  <si>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</si>
  <si>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</si>
  <si>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</si>
  <si>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</si>
  <si>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</si>
  <si>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</si>
  <si>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</si>
  <si>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</si>
  <si>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</si>
  <si>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</si>
  <si>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</si>
  <si>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</si>
  <si>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</si>
  <si>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</si>
  <si>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</si>
  <si>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</si>
  <si>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</si>
  <si>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</si>
  <si>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</si>
  <si>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</si>
  <si>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</si>
  <si>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</si>
  <si>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</si>
  <si>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</si>
  <si>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</si>
  <si>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</si>
  <si>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</si>
  <si>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</si>
  <si>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</si>
  <si>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</si>
  <si>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</si>
  <si>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</si>
  <si>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</si>
  <si>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</si>
  <si>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</si>
  <si>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</si>
  <si>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</si>
  <si>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</si>
  <si>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</si>
  <si>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</si>
  <si>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</si>
  <si>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</si>
  <si>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</si>
  <si>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</si>
  <si>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</si>
  <si>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</si>
  <si>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</si>
  <si>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</si>
  <si>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</si>
  <si>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</si>
  <si>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</si>
  <si>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</si>
  <si>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</si>
  <si>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</si>
  <si>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</si>
  <si>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</si>
  <si>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</si>
  <si>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</si>
  <si>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</si>
  <si>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</si>
  <si>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</si>
  <si>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</si>
  <si>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</si>
  <si>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</si>
  <si>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</si>
  <si>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</si>
  <si>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</si>
  <si>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</si>
  <si>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</si>
  <si>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</si>
  <si>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</si>
  <si>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</si>
  <si>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</si>
  <si>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</si>
  <si>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</si>
  <si>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</si>
  <si>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</si>
  <si>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</si>
  <si>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Short term and fixed deposits with licensed banks</t>
  </si>
  <si>
    <t>Cash and bank balances</t>
  </si>
  <si>
    <t>Bank overdraft</t>
  </si>
  <si>
    <t>FOR THE SECOND QUARTER ENDED 30 JUNE 2009</t>
  </si>
  <si>
    <t>Individual Quarter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</si>
  <si>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</si>
  <si>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</si>
  <si>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</si>
  <si>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</si>
  <si>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</si>
  <si>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</si>
  <si>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</si>
  <si>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</si>
  <si>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</si>
  <si>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</si>
  <si>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</si>
  <si>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</si>
  <si>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</si>
  <si>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</si>
  <si>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</si>
  <si>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</si>
  <si>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</si>
  <si>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</si>
  <si>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</si>
  <si>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</si>
  <si>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</si>
  <si>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</si>
  <si>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</si>
  <si>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</si>
  <si>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</si>
  <si>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</si>
  <si>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</si>
  <si>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Trade receivables</t>
  </si>
  <si>
    <t>Reserves</t>
  </si>
  <si>
    <t>Long term borrowings</t>
  </si>
  <si>
    <t>Deferred taxation</t>
  </si>
  <si>
    <t>Other payables and accruals</t>
  </si>
  <si>
    <t>**** denote RM2.00</t>
  </si>
  <si>
    <t>AUDITED</t>
  </si>
  <si>
    <t>Total equity</t>
  </si>
  <si>
    <t xml:space="preserve">  Attributable to equity holders of the Company</t>
  </si>
  <si>
    <t>HANDAL RESOURCES  BERHAD (816839-X)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</si>
  <si>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</si>
  <si>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</si>
  <si>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t>(i)</t>
  </si>
  <si>
    <t>(ii)</t>
  </si>
  <si>
    <t>Net  Assets Per Share Attributable to ordinary equity holders of the Company (RM)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</si>
  <si>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</si>
  <si>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</si>
  <si>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</si>
  <si>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</si>
  <si>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Depreciation and amortisation cost</t>
  </si>
  <si>
    <t>Administration and other operating expenses</t>
  </si>
  <si>
    <t xml:space="preserve"> FD pledged with licenced banks </t>
  </si>
  <si>
    <t>Current Quarter ended</t>
  </si>
  <si>
    <t xml:space="preserve">Basic earnings per share for the quarter and financial period is calculated based on the net profit  divided by the weighted </t>
  </si>
  <si>
    <t>average number of ordinary shares for the  quarter and financial period respectively.</t>
  </si>
  <si>
    <t>Increase in trade receivables</t>
  </si>
  <si>
    <t xml:space="preserve">Net increase in cash and cash equivalents </t>
  </si>
  <si>
    <t xml:space="preserve">Weighted average no. of ordinary </t>
  </si>
  <si>
    <t>shares in issue (' 000)</t>
  </si>
  <si>
    <t>Cash on hand and at bank</t>
  </si>
  <si>
    <t>Note **</t>
  </si>
  <si>
    <t xml:space="preserve"> launching of prospectus,listing roadshow with fund managers and investment bankers and Public Relation exercise. </t>
  </si>
  <si>
    <t>Goodwill arising on consolidation</t>
  </si>
  <si>
    <t>These expenses consist of RM1,400,000 professional fees for listing exercise and RM1,120,000 expenses incurred during</t>
  </si>
  <si>
    <t>Shareholders' Fund</t>
  </si>
  <si>
    <t>Minority Interests</t>
  </si>
  <si>
    <t>CONSOLIDATED BALANCE SHEET</t>
  </si>
  <si>
    <t>AS AT 31 DECEMBER 2009</t>
  </si>
  <si>
    <t xml:space="preserve">  RM</t>
  </si>
  <si>
    <t>Prepaid land lease payments</t>
  </si>
  <si>
    <t>Goodwill on consolidation</t>
  </si>
  <si>
    <t>Current assets</t>
  </si>
  <si>
    <t>Amount due from customers for contract works</t>
  </si>
  <si>
    <t>Other receivables, deposits and prepayments</t>
  </si>
  <si>
    <t>Short term investment</t>
  </si>
  <si>
    <t xml:space="preserve">Cash on hand and at banks </t>
  </si>
  <si>
    <t>TOTAL ASSETS</t>
  </si>
  <si>
    <t>Equity attributable to shareholders of the Company</t>
  </si>
  <si>
    <t>Borrowings</t>
  </si>
  <si>
    <t>Current liabilities</t>
  </si>
  <si>
    <t>Trade payables</t>
  </si>
  <si>
    <t>Current tax payable</t>
  </si>
  <si>
    <t>TOTAL LIABILITIES</t>
  </si>
  <si>
    <t>TOTAL EQUITY AND LIABILITIES</t>
  </si>
  <si>
    <t>HANDAL RESOURCES BERHAD</t>
  </si>
  <si>
    <t>(Incorporated in Malaysia)</t>
  </si>
  <si>
    <t>AND ITS SUBSIDIARIES</t>
  </si>
  <si>
    <t>CONSOLIDATED CASH FLOW STATEMENT</t>
  </si>
  <si>
    <t>FOR THE YEAR ENDED 31 DECEMBER 2009</t>
  </si>
  <si>
    <t>Note</t>
  </si>
  <si>
    <t>RM</t>
  </si>
  <si>
    <t>Unrealised loss on foreign exchange</t>
  </si>
  <si>
    <t>Income from short term investment</t>
  </si>
  <si>
    <t>Excess of fair value over acquisition cost of subsidiary</t>
  </si>
  <si>
    <t>Decrease in inventories</t>
  </si>
  <si>
    <t>Decrease in work-in-progress</t>
  </si>
  <si>
    <t>Increase in amount due from customers for contract works</t>
  </si>
  <si>
    <t>Cash generated from operations</t>
  </si>
  <si>
    <t>Effect of acquisition of subsidiary companies,</t>
  </si>
  <si>
    <t>net of cash acquired</t>
  </si>
  <si>
    <t xml:space="preserve">Interest received </t>
  </si>
  <si>
    <t>Short term investment income received</t>
  </si>
  <si>
    <t>Net cash generated from investing activities</t>
  </si>
  <si>
    <t>Proceeds from issuance of shares</t>
  </si>
  <si>
    <t>Net drawdown of term loan</t>
  </si>
  <si>
    <t>Payment of term loan interest</t>
  </si>
  <si>
    <t>Payment of interest on medium term notes</t>
  </si>
  <si>
    <t xml:space="preserve">Payment of share issue and listing expenses </t>
  </si>
  <si>
    <t>Net decrease in bills payable</t>
  </si>
  <si>
    <t xml:space="preserve">Repayment of medium term notes </t>
  </si>
  <si>
    <t>Net cash generated from financing activities</t>
  </si>
  <si>
    <t>NET INCREASE IN CASH AND CASH EQUIVALENTS</t>
  </si>
  <si>
    <t>CASH AND CASH EQUIVALENTS AT BEGINNING OF YEAR</t>
  </si>
  <si>
    <t>CASH AND CASH EQUIVALENTS AT END OF YEAR</t>
  </si>
  <si>
    <t>Cash and cash equivalents included in the cash flow statements comprise the following balance sheets amounts :</t>
  </si>
  <si>
    <t>Group</t>
  </si>
  <si>
    <t>Short term investment (Note 9)</t>
  </si>
  <si>
    <t>Short term and fixed deposits</t>
  </si>
  <si>
    <t>with licensed banks</t>
  </si>
  <si>
    <t>Cash on hand and at banks</t>
  </si>
  <si>
    <t>Bank overdrafts (Note 14)</t>
  </si>
  <si>
    <t>Less : Fixed deposits pledged to</t>
  </si>
  <si>
    <t xml:space="preserve">          licensed banks (Note 10)</t>
  </si>
  <si>
    <t>CASH AND CASH EQUIVALENTS</t>
  </si>
  <si>
    <t>Current Quarter Ended          31 March 2010</t>
  </si>
  <si>
    <t>Corresponding                Year To Date                                           31 December  2009</t>
  </si>
  <si>
    <t>Non- controlling Interest</t>
  </si>
  <si>
    <t>UNAUDITED CONDENSED CONSOLIDATED STATEMENT OF FINANCIAL POSITION</t>
  </si>
  <si>
    <t>The Condensed Consolidated  Statement of financial position should be read in conjunction with the audited financial statements</t>
  </si>
  <si>
    <t>UNAUDITED CONDENSED CONSOLIDATED STATEMENT OF COMPREHENSIVE INCOME</t>
  </si>
  <si>
    <t>Other comprehensive income</t>
  </si>
  <si>
    <t>Total other comprehensive income</t>
  </si>
  <si>
    <t>Total comprehensive income for the period</t>
  </si>
  <si>
    <t>Earnings  per share - Basic (sen)</t>
  </si>
  <si>
    <t xml:space="preserve">The Condensed Consolidated Statement of comprehensive income should be read in conjunction with the audited financial </t>
  </si>
  <si>
    <t xml:space="preserve">The Condensed Consolidated  Statement of Changes in Equity should be read in conjunction with the audited financial statements </t>
  </si>
  <si>
    <t>The Condensed Consolidated  Statement of Cashflow should be read in conjunction with the audited financial</t>
  </si>
  <si>
    <t>Equity holders of the parent</t>
  </si>
  <si>
    <t>Non-controlling Interest</t>
  </si>
  <si>
    <t>Preceding Year Corresponding Period</t>
  </si>
  <si>
    <t>Preceding Year Corresponding Quarter</t>
  </si>
  <si>
    <t>Net increase/(decrease) in bills payable</t>
  </si>
  <si>
    <t>(Repayment)/Draw down of Term Loan</t>
  </si>
  <si>
    <t>Cumulative Year To Date</t>
  </si>
  <si>
    <t>Decrease/(Increase)  in Inventories</t>
  </si>
  <si>
    <t>Decrease/(Increase) in work-in-progress</t>
  </si>
  <si>
    <t>Decrease/(Increase) in amount due from customers for contract works</t>
  </si>
  <si>
    <t>Decrease/(Increase) in other receivables, deposits and prepayments</t>
  </si>
  <si>
    <t>Total comprehensive income for the year</t>
  </si>
  <si>
    <t>(Decrease)/Increase in amount due to customers for contract works</t>
  </si>
  <si>
    <t>Decrease/(Increase) in trade receivables</t>
  </si>
  <si>
    <t>(Decrease)/Increase  in trade payables</t>
  </si>
  <si>
    <t>(Decrease)/Increase in other payables and accruals</t>
  </si>
  <si>
    <t>Intangible asset</t>
  </si>
  <si>
    <t>Amount due by customers for contract works</t>
  </si>
  <si>
    <t>Financial assets held for trading</t>
  </si>
  <si>
    <t>Fixed deposits with licensed banks</t>
  </si>
  <si>
    <t>Warrant Reserve</t>
  </si>
  <si>
    <t>Short term investment and fixed deposits with licensed banks</t>
  </si>
  <si>
    <t>Treasury shares</t>
  </si>
  <si>
    <t>Treasury Shares</t>
  </si>
  <si>
    <t>Dividend paid</t>
  </si>
  <si>
    <t>Purchase of Treasury Shares</t>
  </si>
  <si>
    <t>Deferred Tax Asset</t>
  </si>
  <si>
    <t>Profit/(loss) attributable to:</t>
  </si>
  <si>
    <t>statements for the financial year ended 31 December 2012 and the accompanying notes attached to this interim financial report.</t>
  </si>
  <si>
    <t>Interest received</t>
  </si>
  <si>
    <t>Currency translation difference</t>
  </si>
  <si>
    <t>Tax recoverable</t>
  </si>
  <si>
    <t>Investment in a jointly controlled entity</t>
  </si>
  <si>
    <t>FOR THE FINANCIAL YEAR ENDED 30 JUNE 2013</t>
  </si>
  <si>
    <t>Period Ended                             30 June 2013</t>
  </si>
  <si>
    <t>Preceding year Corresponding                Period                                         30 June 2012</t>
  </si>
  <si>
    <t>Proceeds from disposal of property, plant and equipment</t>
  </si>
  <si>
    <t>Acquisition of intangible assets</t>
  </si>
  <si>
    <t>Proceeds from disposal of financial assets hold for trading</t>
  </si>
  <si>
    <t>Liquidate/(Placement )of fixed deposits</t>
  </si>
  <si>
    <t>Sales of Treasury Shares</t>
  </si>
  <si>
    <t>Payment of term loan Interest</t>
  </si>
  <si>
    <t>Amount due to customers for contract works</t>
  </si>
  <si>
    <t>31 March 2014</t>
  </si>
  <si>
    <t>Tax refunded</t>
  </si>
  <si>
    <t>30 June 2014</t>
  </si>
  <si>
    <t>Trade receivables (Note II)</t>
  </si>
  <si>
    <t>30 September 2014</t>
  </si>
  <si>
    <t>31 December 2014</t>
  </si>
  <si>
    <t>Dividend received</t>
  </si>
  <si>
    <t>Net proceed from disposal of quoted non-equity investment</t>
  </si>
  <si>
    <t>Proceed from disposal of treasury shares</t>
  </si>
  <si>
    <t>of documentation for invoicing.</t>
  </si>
  <si>
    <t>Balance as at 1 Jan 2015</t>
  </si>
  <si>
    <t>statements for the financial year ended 31 December 2014 and the accompanying notes attached to this interim financial report.</t>
  </si>
  <si>
    <t xml:space="preserve"> for the financial year ended 31 December 2014 and the accompanying notes attached to this interim financial report.</t>
  </si>
  <si>
    <t xml:space="preserve">(FYE14: RM16.72million); Accrued Revenue consist of contract jobs which have been completed and pending the issuance </t>
  </si>
  <si>
    <t>Profit  before taxation</t>
  </si>
  <si>
    <t>Profit after tax for the period</t>
  </si>
  <si>
    <t>30 June 2015</t>
  </si>
  <si>
    <t>31 March 2015</t>
  </si>
  <si>
    <t>Net cash used in financing activities</t>
  </si>
  <si>
    <t xml:space="preserve">Net decrease in cash and cash equivalents </t>
  </si>
  <si>
    <t>30 September 2015</t>
  </si>
  <si>
    <t>FOR THE THIRD QUARTER ENDED 30 SEPTEMBER 2015</t>
  </si>
  <si>
    <t>AS AT 30 SEPTEMBER 2015</t>
  </si>
  <si>
    <t>30 SEPTEMBER 2015</t>
  </si>
  <si>
    <t xml:space="preserve">Trade Receivable consist of Trade Debtors RM25.84 million (FYE14: RM34.48 million) and Accrued Revenue RM14.81 million </t>
  </si>
  <si>
    <t>Balance as at 30 September 2015</t>
  </si>
  <si>
    <t>Preceding year Corresponding                Period                                         30 September 2014</t>
  </si>
  <si>
    <t>Period Ended                             30 September 2015</t>
  </si>
  <si>
    <t>FOR THE FINANCIAL PERIOD ENDED 30 SEPTEMBER 2015</t>
  </si>
  <si>
    <t>(iii)</t>
  </si>
  <si>
    <t>1)</t>
  </si>
  <si>
    <t>Collection period</t>
  </si>
  <si>
    <t>(Trade Debtors)</t>
  </si>
  <si>
    <t>=</t>
  </si>
  <si>
    <t>Trade Debtor x 12</t>
  </si>
  <si>
    <t>Sales x 2</t>
  </si>
  <si>
    <t>Q3 2015</t>
  </si>
  <si>
    <t>2)</t>
  </si>
  <si>
    <t>Payment period</t>
  </si>
  <si>
    <t>(Trade Creditor)</t>
  </si>
  <si>
    <t>Trade Creditor x 12</t>
  </si>
  <si>
    <t>COGS x 2</t>
  </si>
  <si>
    <t>40,650 x 12</t>
  </si>
  <si>
    <t>73,576 x 2</t>
  </si>
  <si>
    <t>7,531 x 12</t>
  </si>
  <si>
    <t>40,819 x 2</t>
  </si>
  <si>
    <t>Full Year 2014</t>
  </si>
  <si>
    <t>Sales</t>
  </si>
  <si>
    <t>51,204 x 12</t>
  </si>
  <si>
    <t>COGS</t>
  </si>
  <si>
    <t>13,039 x 12</t>
  </si>
  <si>
    <t>New hire purchase loan</t>
  </si>
  <si>
    <t>HRB GROUP BANK FACILITIES</t>
  </si>
  <si>
    <t>COMPANY</t>
  </si>
  <si>
    <t xml:space="preserve">BANK NAME </t>
  </si>
  <si>
    <t>TYPE OF FACILITY</t>
  </si>
  <si>
    <t>AMOUNT</t>
  </si>
  <si>
    <t>OUTSTANDING AMOUNT/</t>
  </si>
  <si>
    <t>Limit</t>
  </si>
  <si>
    <t>UTILISED AMOUNT</t>
  </si>
  <si>
    <t>HOSSB</t>
  </si>
  <si>
    <t xml:space="preserve">MAYBANK  </t>
  </si>
  <si>
    <t>BG</t>
  </si>
  <si>
    <t xml:space="preserve">RHB </t>
  </si>
  <si>
    <t>OVERDRAF</t>
  </si>
  <si>
    <t xml:space="preserve">AMBANK </t>
  </si>
  <si>
    <t>HLB</t>
  </si>
  <si>
    <t>HESB</t>
  </si>
  <si>
    <t>(as at 30/09/15)</t>
  </si>
  <si>
    <t>Utilised(un-presented chq)</t>
  </si>
  <si>
    <t>HOSSB -Cashflow forecast 2015 to Mar16</t>
  </si>
  <si>
    <t>HANDAL OFFSHORE SERVICES SDN BHD</t>
  </si>
  <si>
    <t>in RM</t>
  </si>
  <si>
    <t>INFLOW</t>
  </si>
  <si>
    <t>June</t>
  </si>
  <si>
    <t>JUNE ACTUAL AS AT  25/6</t>
  </si>
  <si>
    <t>July</t>
  </si>
  <si>
    <t>Aug 15</t>
  </si>
  <si>
    <t>October 15</t>
  </si>
  <si>
    <t>Dec 15</t>
  </si>
  <si>
    <t>March 16</t>
  </si>
  <si>
    <t>Expected Collection</t>
  </si>
  <si>
    <t>Accrued revenue PCSB</t>
  </si>
  <si>
    <t>a</t>
  </si>
  <si>
    <t>TOTAL INFLOW</t>
  </si>
  <si>
    <t>OUTFLOW</t>
  </si>
  <si>
    <t>BA RHB</t>
  </si>
  <si>
    <t>IVF HL</t>
  </si>
  <si>
    <t xml:space="preserve">Ambank TL </t>
  </si>
  <si>
    <t>CP204</t>
  </si>
  <si>
    <t>TAX 2014-underestimated( incl penalty)</t>
  </si>
  <si>
    <t>TAX PENALTY</t>
  </si>
  <si>
    <t>Salary</t>
  </si>
  <si>
    <t>Exgratia</t>
  </si>
  <si>
    <t>Additional</t>
  </si>
  <si>
    <t>16</t>
  </si>
  <si>
    <t>Overhead/Admin Cost</t>
  </si>
  <si>
    <t>17</t>
  </si>
  <si>
    <t>GST</t>
  </si>
  <si>
    <t>18</t>
  </si>
  <si>
    <t>Creditors</t>
  </si>
  <si>
    <t>19</t>
  </si>
  <si>
    <t>HRB &amp; HANDRILL--funding</t>
  </si>
  <si>
    <t>20</t>
  </si>
  <si>
    <t>HRB LAND</t>
  </si>
  <si>
    <t>21</t>
  </si>
  <si>
    <t>Financing ERB job</t>
  </si>
  <si>
    <t>22</t>
  </si>
  <si>
    <t>Insurance Lockton n Etiqa</t>
  </si>
  <si>
    <t>23</t>
  </si>
  <si>
    <t>Earmark Hyndai Performance bond -RHB (usd 400@ 4.22)</t>
  </si>
  <si>
    <t>EARMARK HESS UNDERTAKING LETTER</t>
  </si>
  <si>
    <t>24</t>
  </si>
  <si>
    <t>Unpresented cheque</t>
  </si>
  <si>
    <t>b</t>
  </si>
  <si>
    <t xml:space="preserve"> TOTAL OUTFLOW</t>
  </si>
  <si>
    <t>c = a-b</t>
  </si>
  <si>
    <t>Nett cash inflow/outflow</t>
  </si>
  <si>
    <t>d</t>
  </si>
  <si>
    <t>Bank Available b/f ***</t>
  </si>
  <si>
    <t>e = c+d</t>
  </si>
  <si>
    <t>Balance c/f</t>
  </si>
  <si>
    <t>F</t>
  </si>
  <si>
    <t>OD Limit</t>
  </si>
  <si>
    <t>F-e</t>
  </si>
  <si>
    <t>(insufficient) fund in Feb &amp; Mar16</t>
  </si>
  <si>
    <t>OD BREAKDOWN</t>
  </si>
  <si>
    <t>RHB 24932</t>
  </si>
  <si>
    <t>HL</t>
  </si>
  <si>
    <t>AM HOSSB</t>
  </si>
  <si>
    <t>AM  LOAN TO HRB</t>
  </si>
  <si>
    <t>Total Limit</t>
  </si>
  <si>
    <t>Exceed OD Limit by</t>
  </si>
  <si>
    <t>RM6.35mil-Mar16</t>
  </si>
  <si>
    <t>RM4.70mil-Feb16</t>
  </si>
  <si>
    <t>The admin &amp; other operating expenses for quarter and the period ended 30 September 2015 including:</t>
  </si>
  <si>
    <t>(a) provision for impairment loss for Handrill Rig amounting to RM 1,701,000.</t>
  </si>
  <si>
    <t>(b) provision for foreseeable loss amounting RM800,000 for a certain project.</t>
  </si>
  <si>
    <t>Cash generated from/(absorbed by) operations</t>
  </si>
  <si>
    <t>Net cash from/(used in) operating activities</t>
  </si>
  <si>
    <t>Net cash (used in)/ from investing activities</t>
  </si>
</sst>
</file>

<file path=xl/styles.xml><?xml version="1.0" encoding="utf-8"?>
<styleSheet xmlns="http://schemas.openxmlformats.org/spreadsheetml/2006/main">
  <numFmts count="5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\ ???/???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#,##0.000"/>
    <numFmt numFmtId="175" formatCode="0_);\(0\)"/>
    <numFmt numFmtId="176" formatCode="00000"/>
    <numFmt numFmtId="177" formatCode="0.0"/>
    <numFmt numFmtId="178" formatCode="0.E+00"/>
    <numFmt numFmtId="179" formatCode="000\-00\-0000"/>
    <numFmt numFmtId="180" formatCode="_(* #,##0.0_);_(* \(#,##0.0\);_(* &quot;-&quot;_);_(@_)"/>
    <numFmt numFmtId="181" formatCode="_(* #,##0.00_);_(* \(#,##0.00\);_(* &quot;-&quot;_);_(@_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00_);\(#,##0.000000\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_);_(* \(#,##0.000\);_(* &quot;-&quot;_);_(@_)"/>
    <numFmt numFmtId="192" formatCode="_(* #,##0.0000_);_(* \(#,##0.0000\);_(* &quot;-&quot;_);_(@_)"/>
    <numFmt numFmtId="193" formatCode="_(* #,##0.00000_);_(* \(#,##0.00000\);_(* &quot;-&quot;_);_(@_)"/>
    <numFmt numFmtId="194" formatCode="_(* #,##0.000000_);_(* \(#,##0.000000\);_(* &quot;-&quot;_);_(@_)"/>
    <numFmt numFmtId="195" formatCode="_(* #,##0.0000000_);_(* \(#,##0.0000000\);_(* &quot;-&quot;_);_(@_)"/>
    <numFmt numFmtId="196" formatCode="_(* #,##0.00000000_);_(* \(#,##0.00000000\);_(* &quot;-&quot;_);_(@_)"/>
    <numFmt numFmtId="197" formatCode="_(* #,##0.000000000_);_(* \(#,##0.000000000\);_(* &quot;-&quot;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dddd\,\ mmmm\ dd\,\ yyyy"/>
    <numFmt numFmtId="203" formatCode="[$-409]d/mmm/yyyy;@"/>
    <numFmt numFmtId="204" formatCode="[$-409]h:mm:ss\ AM/PM"/>
    <numFmt numFmtId="205" formatCode="#,##0;[Red]#,##0"/>
    <numFmt numFmtId="206" formatCode="[$-409]dddd\,\ dd\ mmmm\,\ yyyy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[$-409]mmm\-yy;@"/>
    <numFmt numFmtId="214" formatCode="_-* #,##0_-;\-* #,##0_-;_-* &quot;-&quot;_-;_-@_-"/>
  </numFmts>
  <fonts count="1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8"/>
      <name val="Arial"/>
      <family val="2"/>
    </font>
    <font>
      <sz val="10"/>
      <color indexed="6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rgb="FF3333FF"/>
      <name val="Arial"/>
      <family val="2"/>
    </font>
    <font>
      <b/>
      <sz val="9"/>
      <color theme="1"/>
      <name val="Arial"/>
      <family val="2"/>
    </font>
    <font>
      <sz val="10"/>
      <color rgb="FFC0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77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72" fontId="5" fillId="0" borderId="0" xfId="42" applyNumberFormat="1" applyFont="1" applyAlignment="1">
      <alignment horizontal="right" vertical="top" wrapText="1"/>
    </xf>
    <xf numFmtId="172" fontId="5" fillId="0" borderId="10" xfId="42" applyNumberFormat="1" applyFont="1" applyBorder="1" applyAlignment="1">
      <alignment horizontal="right" vertical="top" wrapText="1"/>
    </xf>
    <xf numFmtId="172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72" fontId="5" fillId="0" borderId="10" xfId="42" applyNumberFormat="1" applyFont="1" applyBorder="1" applyAlignment="1">
      <alignment vertical="top" wrapText="1"/>
    </xf>
    <xf numFmtId="172" fontId="5" fillId="0" borderId="12" xfId="42" applyNumberFormat="1" applyFont="1" applyBorder="1" applyAlignment="1">
      <alignment horizontal="right" vertical="top" wrapText="1"/>
    </xf>
    <xf numFmtId="172" fontId="5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 horizontal="right" vertical="top" wrapText="1"/>
    </xf>
    <xf numFmtId="172" fontId="0" fillId="0" borderId="10" xfId="42" applyNumberFormat="1" applyFont="1" applyBorder="1" applyAlignment="1">
      <alignment horizontal="right" vertical="top" wrapText="1"/>
    </xf>
    <xf numFmtId="172" fontId="0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/>
    </xf>
    <xf numFmtId="172" fontId="0" fillId="0" borderId="12" xfId="42" applyNumberFormat="1" applyFont="1" applyBorder="1" applyAlignment="1">
      <alignment horizontal="right" vertical="top" wrapText="1"/>
    </xf>
    <xf numFmtId="172" fontId="5" fillId="0" borderId="13" xfId="42" applyNumberFormat="1" applyFont="1" applyBorder="1" applyAlignment="1">
      <alignment horizontal="right" vertical="top" wrapText="1"/>
    </xf>
    <xf numFmtId="172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96" fillId="0" borderId="0" xfId="0" applyFont="1" applyAlignment="1">
      <alignment vertical="top" wrapText="1"/>
    </xf>
    <xf numFmtId="0" fontId="96" fillId="0" borderId="0" xfId="0" applyFont="1" applyAlignment="1">
      <alignment horizontal="justify" vertical="top" wrapText="1"/>
    </xf>
    <xf numFmtId="0" fontId="96" fillId="0" borderId="0" xfId="0" applyFont="1" applyAlignment="1">
      <alignment horizontal="left" vertical="top" wrapText="1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72" fontId="0" fillId="0" borderId="14" xfId="0" applyNumberFormat="1" applyFont="1" applyBorder="1" applyAlignment="1">
      <alignment/>
    </xf>
    <xf numFmtId="0" fontId="98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72" fontId="4" fillId="0" borderId="0" xfId="42" applyNumberFormat="1" applyFont="1" applyAlignment="1">
      <alignment horizontal="right" vertical="top" wrapText="1"/>
    </xf>
    <xf numFmtId="172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2" fontId="4" fillId="0" borderId="10" xfId="42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9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2" fontId="5" fillId="0" borderId="0" xfId="42" applyNumberFormat="1" applyFont="1" applyAlignment="1">
      <alignment/>
    </xf>
    <xf numFmtId="172" fontId="5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3" fillId="0" borderId="0" xfId="0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3" fillId="0" borderId="14" xfId="0" applyNumberFormat="1" applyFont="1" applyBorder="1" applyAlignment="1">
      <alignment horizontal="right"/>
    </xf>
    <xf numFmtId="172" fontId="4" fillId="0" borderId="12" xfId="42" applyNumberFormat="1" applyFont="1" applyBorder="1" applyAlignment="1">
      <alignment horizontal="right" vertical="top" wrapText="1"/>
    </xf>
    <xf numFmtId="172" fontId="4" fillId="0" borderId="0" xfId="42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/>
    </xf>
    <xf numFmtId="37" fontId="14" fillId="0" borderId="15" xfId="0" applyNumberFormat="1" applyFont="1" applyBorder="1" applyAlignment="1">
      <alignment horizontal="right"/>
    </xf>
    <xf numFmtId="172" fontId="14" fillId="0" borderId="10" xfId="42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2" fontId="5" fillId="0" borderId="10" xfId="42" applyNumberFormat="1" applyFont="1" applyBorder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37" fontId="5" fillId="0" borderId="0" xfId="0" applyNumberFormat="1" applyFont="1" applyAlignment="1">
      <alignment horizontal="right"/>
    </xf>
    <xf numFmtId="37" fontId="5" fillId="0" borderId="14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 horizontal="right"/>
    </xf>
    <xf numFmtId="37" fontId="5" fillId="0" borderId="16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37" fontId="14" fillId="0" borderId="17" xfId="0" applyNumberFormat="1" applyFont="1" applyBorder="1" applyAlignment="1">
      <alignment horizontal="right"/>
    </xf>
    <xf numFmtId="0" fontId="77" fillId="0" borderId="0" xfId="58">
      <alignment/>
      <protection/>
    </xf>
    <xf numFmtId="0" fontId="104" fillId="0" borderId="0" xfId="58" applyFont="1">
      <alignment/>
      <protection/>
    </xf>
    <xf numFmtId="0" fontId="104" fillId="0" borderId="0" xfId="58" applyFont="1" applyAlignment="1">
      <alignment horizontal="right" vertical="top" wrapText="1"/>
      <protection/>
    </xf>
    <xf numFmtId="0" fontId="102" fillId="0" borderId="0" xfId="58" applyFont="1" applyAlignment="1">
      <alignment horizontal="right" vertical="top" wrapText="1"/>
      <protection/>
    </xf>
    <xf numFmtId="0" fontId="105" fillId="0" borderId="0" xfId="58" applyFont="1" applyAlignment="1">
      <alignment wrapText="1"/>
      <protection/>
    </xf>
    <xf numFmtId="0" fontId="102" fillId="0" borderId="0" xfId="58" applyFont="1">
      <alignment/>
      <protection/>
    </xf>
    <xf numFmtId="0" fontId="104" fillId="0" borderId="0" xfId="58" applyFont="1" applyAlignment="1">
      <alignment vertical="top" wrapText="1"/>
      <protection/>
    </xf>
    <xf numFmtId="0" fontId="102" fillId="0" borderId="0" xfId="58" applyFont="1" applyAlignment="1">
      <alignment vertical="top" wrapText="1"/>
      <protection/>
    </xf>
    <xf numFmtId="3" fontId="102" fillId="0" borderId="0" xfId="58" applyNumberFormat="1" applyFont="1" applyAlignment="1">
      <alignment horizontal="right" vertical="top" wrapText="1"/>
      <protection/>
    </xf>
    <xf numFmtId="3" fontId="102" fillId="0" borderId="10" xfId="58" applyNumberFormat="1" applyFont="1" applyBorder="1" applyAlignment="1">
      <alignment horizontal="right" vertical="top" wrapText="1"/>
      <protection/>
    </xf>
    <xf numFmtId="3" fontId="102" fillId="0" borderId="12" xfId="58" applyNumberFormat="1" applyFont="1" applyBorder="1" applyAlignment="1">
      <alignment horizontal="right" vertical="top" wrapText="1"/>
      <protection/>
    </xf>
    <xf numFmtId="0" fontId="105" fillId="0" borderId="0" xfId="58" applyFont="1" applyAlignment="1">
      <alignment horizontal="right" wrapText="1"/>
      <protection/>
    </xf>
    <xf numFmtId="0" fontId="5" fillId="0" borderId="0" xfId="0" applyFont="1" applyAlignment="1">
      <alignment horizontal="justify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172" fontId="4" fillId="0" borderId="15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justify" vertical="top" wrapText="1"/>
    </xf>
    <xf numFmtId="37" fontId="4" fillId="0" borderId="14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7" fontId="5" fillId="0" borderId="16" xfId="0" applyNumberFormat="1" applyFont="1" applyFill="1" applyBorder="1" applyAlignment="1">
      <alignment horizontal="right"/>
    </xf>
    <xf numFmtId="172" fontId="4" fillId="0" borderId="0" xfId="42" applyNumberFormat="1" applyFont="1" applyBorder="1" applyAlignment="1">
      <alignment vertical="top" wrapText="1"/>
    </xf>
    <xf numFmtId="172" fontId="5" fillId="0" borderId="0" xfId="42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172" fontId="4" fillId="0" borderId="14" xfId="42" applyNumberFormat="1" applyFont="1" applyBorder="1" applyAlignment="1">
      <alignment horizontal="right" vertical="top" wrapText="1"/>
    </xf>
    <xf numFmtId="37" fontId="5" fillId="0" borderId="1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43" fontId="5" fillId="0" borderId="0" xfId="42" applyFont="1" applyBorder="1" applyAlignment="1">
      <alignment horizontal="right"/>
    </xf>
    <xf numFmtId="43" fontId="5" fillId="0" borderId="0" xfId="42" applyFont="1" applyAlignment="1">
      <alignment horizontal="center"/>
    </xf>
    <xf numFmtId="43" fontId="5" fillId="0" borderId="13" xfId="42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4" fillId="0" borderId="0" xfId="0" applyNumberFormat="1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37" fontId="5" fillId="0" borderId="0" xfId="0" applyNumberFormat="1" applyFont="1" applyFill="1" applyAlignment="1">
      <alignment horizontal="right"/>
    </xf>
    <xf numFmtId="37" fontId="5" fillId="0" borderId="14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5" fillId="0" borderId="0" xfId="42" applyFont="1" applyFill="1" applyBorder="1" applyAlignment="1">
      <alignment horizontal="right"/>
    </xf>
    <xf numFmtId="3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59" applyFont="1" applyFill="1" applyAlignment="1">
      <alignment horizontal="left" vertical="top" wrapText="1"/>
      <protection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37" fontId="106" fillId="0" borderId="0" xfId="0" applyNumberFormat="1" applyFont="1" applyAlignment="1">
      <alignment horizontal="right"/>
    </xf>
    <xf numFmtId="0" fontId="107" fillId="0" borderId="0" xfId="0" applyFont="1" applyFill="1" applyAlignment="1">
      <alignment vertical="top" wrapText="1"/>
    </xf>
    <xf numFmtId="172" fontId="108" fillId="0" borderId="0" xfId="42" applyNumberFormat="1" applyFont="1" applyFill="1" applyAlignment="1">
      <alignment horizontal="right" vertical="top" wrapText="1"/>
    </xf>
    <xf numFmtId="172" fontId="107" fillId="0" borderId="0" xfId="42" applyNumberFormat="1" applyFont="1" applyFill="1" applyAlignment="1">
      <alignment horizontal="right" vertical="top" wrapText="1"/>
    </xf>
    <xf numFmtId="172" fontId="108" fillId="0" borderId="0" xfId="42" applyNumberFormat="1" applyFont="1" applyFill="1" applyAlignment="1">
      <alignment/>
    </xf>
    <xf numFmtId="0" fontId="108" fillId="0" borderId="0" xfId="0" applyFont="1" applyFill="1" applyAlignment="1">
      <alignment/>
    </xf>
    <xf numFmtId="172" fontId="108" fillId="0" borderId="0" xfId="0" applyNumberFormat="1" applyFont="1" applyFill="1" applyAlignment="1">
      <alignment/>
    </xf>
    <xf numFmtId="172" fontId="5" fillId="0" borderId="0" xfId="42" applyNumberFormat="1" applyFont="1" applyFill="1" applyAlignment="1">
      <alignment horizontal="right" vertical="top" wrapText="1"/>
    </xf>
    <xf numFmtId="172" fontId="5" fillId="0" borderId="11" xfId="42" applyNumberFormat="1" applyFont="1" applyFill="1" applyBorder="1" applyAlignment="1">
      <alignment horizontal="right" vertical="top" wrapText="1"/>
    </xf>
    <xf numFmtId="172" fontId="4" fillId="0" borderId="0" xfId="42" applyNumberFormat="1" applyFont="1" applyFill="1" applyAlignment="1">
      <alignment horizontal="right" vertical="top" wrapText="1"/>
    </xf>
    <xf numFmtId="172" fontId="5" fillId="0" borderId="1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horizontal="right" vertical="top" wrapText="1"/>
    </xf>
    <xf numFmtId="172" fontId="5" fillId="0" borderId="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vertical="top" wrapText="1"/>
    </xf>
    <xf numFmtId="172" fontId="5" fillId="0" borderId="0" xfId="42" applyNumberFormat="1" applyFont="1" applyFill="1" applyAlignment="1">
      <alignment/>
    </xf>
    <xf numFmtId="172" fontId="4" fillId="0" borderId="12" xfId="42" applyNumberFormat="1" applyFont="1" applyFill="1" applyBorder="1" applyAlignment="1">
      <alignment horizontal="right" vertical="top" wrapText="1"/>
    </xf>
    <xf numFmtId="172" fontId="5" fillId="0" borderId="10" xfId="42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37" fontId="108" fillId="0" borderId="0" xfId="0" applyNumberFormat="1" applyFont="1" applyFill="1" applyBorder="1" applyAlignment="1">
      <alignment horizontal="right"/>
    </xf>
    <xf numFmtId="37" fontId="108" fillId="0" borderId="0" xfId="0" applyNumberFormat="1" applyFont="1" applyFill="1" applyBorder="1" applyAlignment="1">
      <alignment horizontal="center"/>
    </xf>
    <xf numFmtId="0" fontId="108" fillId="0" borderId="0" xfId="0" applyFont="1" applyAlignment="1">
      <alignment/>
    </xf>
    <xf numFmtId="37" fontId="106" fillId="0" borderId="0" xfId="0" applyNumberFormat="1" applyFont="1" applyBorder="1" applyAlignment="1">
      <alignment horizontal="center"/>
    </xf>
    <xf numFmtId="37" fontId="106" fillId="0" borderId="0" xfId="0" applyNumberFormat="1" applyFont="1" applyAlignment="1">
      <alignment horizontal="center"/>
    </xf>
    <xf numFmtId="37" fontId="109" fillId="0" borderId="0" xfId="0" applyNumberFormat="1" applyFont="1" applyAlignment="1">
      <alignment horizontal="center"/>
    </xf>
    <xf numFmtId="39" fontId="10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2" fontId="0" fillId="33" borderId="0" xfId="42" applyNumberFormat="1" applyFont="1" applyFill="1" applyAlignment="1">
      <alignment/>
    </xf>
    <xf numFmtId="0" fontId="5" fillId="0" borderId="0" xfId="0" applyFont="1" applyFill="1" applyBorder="1" applyAlignment="1">
      <alignment/>
    </xf>
    <xf numFmtId="43" fontId="5" fillId="0" borderId="0" xfId="42" applyFont="1" applyAlignment="1">
      <alignment horizontal="right"/>
    </xf>
    <xf numFmtId="0" fontId="109" fillId="0" borderId="0" xfId="0" applyFont="1" applyAlignment="1">
      <alignment horizontal="center"/>
    </xf>
    <xf numFmtId="0" fontId="4" fillId="34" borderId="0" xfId="0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37" fontId="14" fillId="0" borderId="10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37" fontId="108" fillId="0" borderId="0" xfId="0" applyNumberFormat="1" applyFont="1" applyFill="1" applyAlignment="1">
      <alignment horizontal="right"/>
    </xf>
    <xf numFmtId="43" fontId="108" fillId="0" borderId="0" xfId="42" applyFont="1" applyFill="1" applyBorder="1" applyAlignment="1">
      <alignment horizontal="right"/>
    </xf>
    <xf numFmtId="39" fontId="108" fillId="0" borderId="0" xfId="0" applyNumberFormat="1" applyFont="1" applyFill="1" applyAlignment="1">
      <alignment horizontal="right"/>
    </xf>
    <xf numFmtId="37" fontId="106" fillId="0" borderId="0" xfId="0" applyNumberFormat="1" applyFont="1" applyFill="1" applyBorder="1" applyAlignment="1">
      <alignment horizontal="center"/>
    </xf>
    <xf numFmtId="172" fontId="107" fillId="0" borderId="0" xfId="42" applyNumberFormat="1" applyFont="1" applyAlignment="1">
      <alignment horizontal="center" vertical="center"/>
    </xf>
    <xf numFmtId="0" fontId="108" fillId="0" borderId="0" xfId="0" applyFont="1" applyAlignment="1">
      <alignment vertical="center"/>
    </xf>
    <xf numFmtId="37" fontId="108" fillId="0" borderId="0" xfId="0" applyNumberFormat="1" applyFont="1" applyAlignment="1">
      <alignment vertical="center"/>
    </xf>
    <xf numFmtId="37" fontId="108" fillId="0" borderId="0" xfId="0" applyNumberFormat="1" applyFont="1" applyBorder="1" applyAlignment="1">
      <alignment horizontal="center" vertical="center"/>
    </xf>
    <xf numFmtId="37" fontId="108" fillId="0" borderId="0" xfId="0" applyNumberFormat="1" applyFont="1" applyFill="1" applyBorder="1" applyAlignment="1">
      <alignment horizontal="center" vertical="center"/>
    </xf>
    <xf numFmtId="172" fontId="108" fillId="0" borderId="0" xfId="42" applyNumberFormat="1" applyFont="1" applyAlignment="1">
      <alignment horizontal="right" vertical="top" wrapText="1"/>
    </xf>
    <xf numFmtId="172" fontId="108" fillId="0" borderId="0" xfId="42" applyNumberFormat="1" applyFont="1" applyBorder="1" applyAlignment="1">
      <alignment horizontal="right" vertical="top" wrapText="1"/>
    </xf>
    <xf numFmtId="172" fontId="108" fillId="0" borderId="0" xfId="42" applyNumberFormat="1" applyFont="1" applyAlignment="1">
      <alignment/>
    </xf>
    <xf numFmtId="172" fontId="107" fillId="0" borderId="0" xfId="42" applyNumberFormat="1" applyFont="1" applyBorder="1" applyAlignment="1">
      <alignment horizontal="right" vertical="top" wrapText="1"/>
    </xf>
    <xf numFmtId="0" fontId="108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1" fontId="5" fillId="0" borderId="0" xfId="0" applyNumberFormat="1" applyFont="1" applyAlignment="1">
      <alignment horizontal="right"/>
    </xf>
    <xf numFmtId="41" fontId="14" fillId="0" borderId="0" xfId="0" applyNumberFormat="1" applyFont="1" applyBorder="1" applyAlignment="1">
      <alignment horizontal="right"/>
    </xf>
    <xf numFmtId="172" fontId="14" fillId="0" borderId="0" xfId="42" applyNumberFormat="1" applyFont="1" applyBorder="1" applyAlignment="1">
      <alignment horizontal="right"/>
    </xf>
    <xf numFmtId="41" fontId="14" fillId="0" borderId="0" xfId="0" applyNumberFormat="1" applyFont="1" applyAlignment="1">
      <alignment horizontal="right"/>
    </xf>
    <xf numFmtId="43" fontId="14" fillId="0" borderId="0" xfId="42" applyFont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0" borderId="17" xfId="0" applyNumberFormat="1" applyFont="1" applyFill="1" applyBorder="1" applyAlignment="1">
      <alignment horizontal="right"/>
    </xf>
    <xf numFmtId="172" fontId="14" fillId="0" borderId="0" xfId="42" applyNumberFormat="1" applyFont="1" applyFill="1" applyBorder="1" applyAlignment="1">
      <alignment horizontal="right"/>
    </xf>
    <xf numFmtId="172" fontId="14" fillId="0" borderId="0" xfId="42" applyNumberFormat="1" applyFont="1" applyAlignment="1">
      <alignment/>
    </xf>
    <xf numFmtId="172" fontId="4" fillId="0" borderId="0" xfId="42" applyNumberFormat="1" applyFont="1" applyAlignment="1">
      <alignment horizontal="center" vertical="center"/>
    </xf>
    <xf numFmtId="172" fontId="5" fillId="0" borderId="0" xfId="42" applyNumberFormat="1" applyFont="1" applyAlignment="1">
      <alignment horizontal="center" vertical="center"/>
    </xf>
    <xf numFmtId="172" fontId="4" fillId="0" borderId="14" xfId="42" applyNumberFormat="1" applyFont="1" applyBorder="1" applyAlignment="1">
      <alignment horizontal="center" vertical="center"/>
    </xf>
    <xf numFmtId="172" fontId="4" fillId="0" borderId="0" xfId="42" applyNumberFormat="1" applyFont="1" applyFill="1" applyAlignment="1">
      <alignment horizontal="center" vertical="center"/>
    </xf>
    <xf numFmtId="172" fontId="5" fillId="0" borderId="0" xfId="42" applyNumberFormat="1" applyFont="1" applyFill="1" applyAlignment="1">
      <alignment horizontal="center" vertical="center"/>
    </xf>
    <xf numFmtId="172" fontId="4" fillId="0" borderId="14" xfId="42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41" fontId="106" fillId="0" borderId="0" xfId="0" applyNumberFormat="1" applyFont="1" applyBorder="1" applyAlignment="1">
      <alignment horizontal="center"/>
    </xf>
    <xf numFmtId="41" fontId="14" fillId="0" borderId="0" xfId="0" applyNumberFormat="1" applyFont="1" applyFill="1" applyBorder="1" applyAlignment="1">
      <alignment horizontal="right"/>
    </xf>
    <xf numFmtId="43" fontId="5" fillId="0" borderId="0" xfId="42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25" fillId="0" borderId="0" xfId="0" applyFont="1" applyAlignment="1">
      <alignment horizontal="center"/>
    </xf>
    <xf numFmtId="37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94" fillId="0" borderId="0" xfId="0" applyFont="1" applyAlignment="1">
      <alignment/>
    </xf>
    <xf numFmtId="0" fontId="110" fillId="0" borderId="18" xfId="0" applyFont="1" applyBorder="1" applyAlignment="1">
      <alignment horizontal="center"/>
    </xf>
    <xf numFmtId="0" fontId="110" fillId="0" borderId="19" xfId="0" applyFont="1" applyBorder="1" applyAlignment="1">
      <alignment horizontal="center"/>
    </xf>
    <xf numFmtId="0" fontId="94" fillId="0" borderId="18" xfId="0" applyFont="1" applyBorder="1" applyAlignment="1">
      <alignment horizontal="center"/>
    </xf>
    <xf numFmtId="0" fontId="111" fillId="0" borderId="19" xfId="0" applyFont="1" applyBorder="1" applyAlignment="1">
      <alignment horizontal="center"/>
    </xf>
    <xf numFmtId="0" fontId="94" fillId="0" borderId="20" xfId="0" applyFont="1" applyBorder="1" applyAlignment="1">
      <alignment horizontal="center"/>
    </xf>
    <xf numFmtId="0" fontId="110" fillId="0" borderId="21" xfId="0" applyFont="1" applyBorder="1" applyAlignment="1">
      <alignment horizontal="center"/>
    </xf>
    <xf numFmtId="0" fontId="110" fillId="0" borderId="22" xfId="0" applyFont="1" applyBorder="1" applyAlignment="1">
      <alignment horizontal="center"/>
    </xf>
    <xf numFmtId="0" fontId="94" fillId="0" borderId="21" xfId="0" applyFont="1" applyBorder="1" applyAlignment="1">
      <alignment horizontal="center"/>
    </xf>
    <xf numFmtId="0" fontId="97" fillId="0" borderId="22" xfId="0" applyFont="1" applyBorder="1" applyAlignment="1">
      <alignment horizontal="center"/>
    </xf>
    <xf numFmtId="0" fontId="94" fillId="0" borderId="23" xfId="0" applyFont="1" applyBorder="1" applyAlignment="1">
      <alignment horizontal="center"/>
    </xf>
    <xf numFmtId="0" fontId="112" fillId="0" borderId="24" xfId="0" applyFont="1" applyBorder="1" applyAlignment="1">
      <alignment/>
    </xf>
    <xf numFmtId="0" fontId="112" fillId="0" borderId="25" xfId="0" applyFont="1" applyBorder="1" applyAlignment="1">
      <alignment/>
    </xf>
    <xf numFmtId="0" fontId="0" fillId="0" borderId="24" xfId="0" applyBorder="1" applyAlignment="1">
      <alignment/>
    </xf>
    <xf numFmtId="0" fontId="97" fillId="0" borderId="25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112" fillId="0" borderId="19" xfId="0" applyFont="1" applyBorder="1" applyAlignment="1">
      <alignment horizontal="center"/>
    </xf>
    <xf numFmtId="172" fontId="112" fillId="0" borderId="19" xfId="42" applyNumberFormat="1" applyFont="1" applyBorder="1" applyAlignment="1">
      <alignment/>
    </xf>
    <xf numFmtId="172" fontId="65" fillId="0" borderId="22" xfId="42" applyNumberFormat="1" applyFont="1" applyBorder="1" applyAlignment="1">
      <alignment/>
    </xf>
    <xf numFmtId="43" fontId="77" fillId="0" borderId="20" xfId="42" applyFont="1" applyFill="1" applyBorder="1" applyAlignment="1">
      <alignment/>
    </xf>
    <xf numFmtId="0" fontId="110" fillId="0" borderId="24" xfId="0" applyFont="1" applyBorder="1" applyAlignment="1">
      <alignment horizontal="center"/>
    </xf>
    <xf numFmtId="0" fontId="110" fillId="0" borderId="25" xfId="0" applyFont="1" applyBorder="1" applyAlignment="1">
      <alignment horizontal="center"/>
    </xf>
    <xf numFmtId="0" fontId="112" fillId="0" borderId="25" xfId="0" applyFont="1" applyBorder="1" applyAlignment="1">
      <alignment horizontal="center"/>
    </xf>
    <xf numFmtId="172" fontId="112" fillId="0" borderId="25" xfId="42" applyNumberFormat="1" applyFont="1" applyBorder="1" applyAlignment="1">
      <alignment/>
    </xf>
    <xf numFmtId="172" fontId="65" fillId="0" borderId="25" xfId="42" applyNumberFormat="1" applyFont="1" applyBorder="1" applyAlignment="1">
      <alignment/>
    </xf>
    <xf numFmtId="43" fontId="77" fillId="0" borderId="23" xfId="42" applyFont="1" applyFill="1" applyBorder="1" applyAlignment="1">
      <alignment/>
    </xf>
    <xf numFmtId="0" fontId="110" fillId="0" borderId="0" xfId="0" applyFont="1" applyBorder="1" applyAlignment="1">
      <alignment horizontal="center"/>
    </xf>
    <xf numFmtId="0" fontId="112" fillId="0" borderId="0" xfId="0" applyFont="1" applyBorder="1" applyAlignment="1">
      <alignment/>
    </xf>
    <xf numFmtId="172" fontId="112" fillId="0" borderId="0" xfId="42" applyNumberFormat="1" applyFont="1" applyBorder="1" applyAlignment="1">
      <alignment/>
    </xf>
    <xf numFmtId="172" fontId="65" fillId="0" borderId="0" xfId="42" applyNumberFormat="1" applyFont="1" applyBorder="1" applyAlignment="1">
      <alignment/>
    </xf>
    <xf numFmtId="43" fontId="77" fillId="0" borderId="0" xfId="42" applyFont="1" applyFill="1" applyBorder="1" applyAlignment="1">
      <alignment/>
    </xf>
    <xf numFmtId="172" fontId="97" fillId="0" borderId="19" xfId="42" applyNumberFormat="1" applyFont="1" applyBorder="1" applyAlignment="1">
      <alignment/>
    </xf>
    <xf numFmtId="172" fontId="113" fillId="0" borderId="19" xfId="42" applyNumberFormat="1" applyFont="1" applyBorder="1" applyAlignment="1">
      <alignment/>
    </xf>
    <xf numFmtId="43" fontId="77" fillId="0" borderId="20" xfId="42" applyFont="1" applyFill="1" applyBorder="1" applyAlignment="1" quotePrefix="1">
      <alignment horizontal="left"/>
    </xf>
    <xf numFmtId="172" fontId="64" fillId="0" borderId="22" xfId="42" applyNumberFormat="1" applyFont="1" applyBorder="1" applyAlignment="1">
      <alignment/>
    </xf>
    <xf numFmtId="172" fontId="111" fillId="0" borderId="26" xfId="42" applyNumberFormat="1" applyFont="1" applyBorder="1" applyAlignment="1">
      <alignment/>
    </xf>
    <xf numFmtId="172" fontId="67" fillId="0" borderId="27" xfId="42" applyNumberFormat="1" applyFont="1" applyBorder="1" applyAlignment="1">
      <alignment/>
    </xf>
    <xf numFmtId="172" fontId="77" fillId="0" borderId="23" xfId="42" applyNumberFormat="1" applyFont="1" applyFill="1" applyBorder="1" applyAlignment="1">
      <alignment/>
    </xf>
    <xf numFmtId="172" fontId="77" fillId="0" borderId="20" xfId="42" applyNumberFormat="1" applyFont="1" applyFill="1" applyBorder="1" applyAlignment="1">
      <alignment/>
    </xf>
    <xf numFmtId="172" fontId="111" fillId="0" borderId="27" xfId="42" applyNumberFormat="1" applyFont="1" applyBorder="1" applyAlignment="1">
      <alignment/>
    </xf>
    <xf numFmtId="43" fontId="77" fillId="0" borderId="28" xfId="42" applyFont="1" applyBorder="1" applyAlignment="1">
      <alignment/>
    </xf>
    <xf numFmtId="0" fontId="94" fillId="0" borderId="25" xfId="0" applyFont="1" applyBorder="1" applyAlignment="1">
      <alignment horizontal="center"/>
    </xf>
    <xf numFmtId="0" fontId="94" fillId="0" borderId="19" xfId="0" applyFont="1" applyBorder="1" applyAlignment="1">
      <alignment horizontal="center"/>
    </xf>
    <xf numFmtId="172" fontId="97" fillId="0" borderId="20" xfId="42" applyNumberFormat="1" applyFont="1" applyBorder="1" applyAlignment="1">
      <alignment/>
    </xf>
    <xf numFmtId="172" fontId="64" fillId="0" borderId="19" xfId="42" applyNumberFormat="1" applyFont="1" applyBorder="1" applyAlignment="1">
      <alignment/>
    </xf>
    <xf numFmtId="43" fontId="77" fillId="0" borderId="20" xfId="42" applyFont="1" applyBorder="1" applyAlignment="1">
      <alignment/>
    </xf>
    <xf numFmtId="0" fontId="94" fillId="0" borderId="24" xfId="0" applyFont="1" applyBorder="1" applyAlignment="1">
      <alignment horizontal="center"/>
    </xf>
    <xf numFmtId="43" fontId="77" fillId="0" borderId="23" xfId="42" applyFont="1" applyBorder="1" applyAlignment="1">
      <alignment/>
    </xf>
    <xf numFmtId="0" fontId="112" fillId="0" borderId="0" xfId="0" applyFont="1" applyBorder="1" applyAlignment="1">
      <alignment horizontal="center"/>
    </xf>
    <xf numFmtId="172" fontId="94" fillId="0" borderId="17" xfId="0" applyNumberFormat="1" applyFont="1" applyBorder="1" applyAlignment="1">
      <alignment/>
    </xf>
    <xf numFmtId="0" fontId="112" fillId="0" borderId="20" xfId="0" applyFont="1" applyBorder="1" applyAlignment="1">
      <alignment horizontal="center"/>
    </xf>
    <xf numFmtId="0" fontId="114" fillId="0" borderId="22" xfId="0" applyFont="1" applyBorder="1" applyAlignment="1">
      <alignment horizontal="center"/>
    </xf>
    <xf numFmtId="38" fontId="1" fillId="0" borderId="0" xfId="42" applyNumberFormat="1" applyFont="1" applyAlignment="1">
      <alignment horizontal="center" vertical="center"/>
    </xf>
    <xf numFmtId="38" fontId="94" fillId="0" borderId="0" xfId="42" applyNumberFormat="1" applyFont="1" applyAlignment="1">
      <alignment horizontal="left" vertical="center"/>
    </xf>
    <xf numFmtId="38" fontId="77" fillId="0" borderId="0" xfId="42" applyNumberFormat="1" applyFont="1" applyAlignment="1">
      <alignment horizontal="left" vertical="center"/>
    </xf>
    <xf numFmtId="38" fontId="2" fillId="0" borderId="0" xfId="42" applyNumberFormat="1" applyFont="1" applyFill="1" applyAlignment="1">
      <alignment vertical="center"/>
    </xf>
    <xf numFmtId="38" fontId="96" fillId="0" borderId="0" xfId="42" applyNumberFormat="1" applyFont="1" applyFill="1" applyAlignment="1">
      <alignment vertical="center"/>
    </xf>
    <xf numFmtId="38" fontId="0" fillId="0" borderId="0" xfId="42" applyNumberFormat="1" applyFont="1" applyFill="1" applyAlignment="1">
      <alignment vertical="center"/>
    </xf>
    <xf numFmtId="38" fontId="0" fillId="0" borderId="0" xfId="42" applyNumberFormat="1" applyFont="1" applyAlignment="1">
      <alignment horizontal="right" vertical="center" wrapText="1"/>
    </xf>
    <xf numFmtId="38" fontId="0" fillId="0" borderId="0" xfId="42" applyNumberFormat="1" applyFont="1" applyAlignment="1">
      <alignment vertical="center" wrapText="1"/>
    </xf>
    <xf numFmtId="38" fontId="0" fillId="0" borderId="0" xfId="42" applyNumberFormat="1" applyFont="1" applyAlignment="1">
      <alignment vertical="center"/>
    </xf>
    <xf numFmtId="38" fontId="0" fillId="0" borderId="0" xfId="42" applyNumberFormat="1" applyFont="1" applyAlignment="1">
      <alignment horizontal="left" vertical="center"/>
    </xf>
    <xf numFmtId="38" fontId="115" fillId="0" borderId="0" xfId="42" applyNumberFormat="1" applyFont="1" applyFill="1" applyAlignment="1">
      <alignment vertical="center"/>
    </xf>
    <xf numFmtId="38" fontId="0" fillId="0" borderId="0" xfId="42" applyNumberFormat="1" applyFont="1" applyBorder="1" applyAlignment="1">
      <alignment horizontal="right" vertical="center" wrapText="1"/>
    </xf>
    <xf numFmtId="38" fontId="116" fillId="0" borderId="29" xfId="42" applyNumberFormat="1" applyFont="1" applyBorder="1" applyAlignment="1">
      <alignment horizontal="left" vertical="center" wrapText="1"/>
    </xf>
    <xf numFmtId="213" fontId="1" fillId="0" borderId="30" xfId="42" applyNumberFormat="1" applyFont="1" applyFill="1" applyBorder="1" applyAlignment="1">
      <alignment horizontal="center" vertical="center"/>
    </xf>
    <xf numFmtId="213" fontId="1" fillId="0" borderId="30" xfId="42" applyNumberFormat="1" applyFont="1" applyFill="1" applyBorder="1" applyAlignment="1">
      <alignment horizontal="center" vertical="center" wrapText="1"/>
    </xf>
    <xf numFmtId="213" fontId="117" fillId="0" borderId="30" xfId="42" applyNumberFormat="1" applyFont="1" applyFill="1" applyBorder="1" applyAlignment="1">
      <alignment horizontal="center" vertical="center"/>
    </xf>
    <xf numFmtId="213" fontId="1" fillId="0" borderId="31" xfId="42" applyNumberFormat="1" applyFont="1" applyFill="1" applyBorder="1" applyAlignment="1">
      <alignment horizontal="center" vertical="center"/>
    </xf>
    <xf numFmtId="38" fontId="26" fillId="0" borderId="0" xfId="42" applyNumberFormat="1" applyFont="1" applyBorder="1" applyAlignment="1">
      <alignment horizontal="right" vertical="center" wrapText="1"/>
    </xf>
    <xf numFmtId="38" fontId="118" fillId="0" borderId="0" xfId="42" applyNumberFormat="1" applyFont="1" applyAlignment="1">
      <alignment horizontal="center" vertical="center"/>
    </xf>
    <xf numFmtId="38" fontId="27" fillId="0" borderId="32" xfId="42" applyNumberFormat="1" applyFont="1" applyBorder="1" applyAlignment="1">
      <alignment horizontal="left" vertical="center" wrapText="1"/>
    </xf>
    <xf numFmtId="38" fontId="28" fillId="0" borderId="33" xfId="42" applyNumberFormat="1" applyFont="1" applyBorder="1" applyAlignment="1">
      <alignment horizontal="right" vertical="center" wrapText="1"/>
    </xf>
    <xf numFmtId="38" fontId="29" fillId="33" borderId="34" xfId="42" applyNumberFormat="1" applyFont="1" applyFill="1" applyBorder="1" applyAlignment="1">
      <alignment vertical="center"/>
    </xf>
    <xf numFmtId="38" fontId="119" fillId="0" borderId="34" xfId="42" applyNumberFormat="1" applyFont="1" applyFill="1" applyBorder="1" applyAlignment="1">
      <alignment vertical="center"/>
    </xf>
    <xf numFmtId="38" fontId="29" fillId="0" borderId="34" xfId="42" applyNumberFormat="1" applyFont="1" applyFill="1" applyBorder="1" applyAlignment="1">
      <alignment vertical="center"/>
    </xf>
    <xf numFmtId="38" fontId="29" fillId="0" borderId="35" xfId="42" applyNumberFormat="1" applyFont="1" applyFill="1" applyBorder="1" applyAlignment="1">
      <alignment vertical="center"/>
    </xf>
    <xf numFmtId="38" fontId="1" fillId="0" borderId="0" xfId="42" applyNumberFormat="1" applyFont="1" applyBorder="1" applyAlignment="1">
      <alignment horizontal="right" vertical="center" wrapText="1"/>
    </xf>
    <xf numFmtId="38" fontId="0" fillId="0" borderId="33" xfId="42" applyNumberFormat="1" applyFont="1" applyFill="1" applyBorder="1" applyAlignment="1">
      <alignment vertical="center"/>
    </xf>
    <xf numFmtId="38" fontId="28" fillId="0" borderId="32" xfId="42" applyNumberFormat="1" applyFont="1" applyBorder="1" applyAlignment="1">
      <alignment horizontal="left" vertical="center" wrapText="1"/>
    </xf>
    <xf numFmtId="38" fontId="29" fillId="0" borderId="33" xfId="42" applyNumberFormat="1" applyFont="1" applyFill="1" applyBorder="1" applyAlignment="1">
      <alignment vertical="center"/>
    </xf>
    <xf numFmtId="38" fontId="119" fillId="0" borderId="33" xfId="42" applyNumberFormat="1" applyFont="1" applyFill="1" applyBorder="1" applyAlignment="1">
      <alignment vertical="center"/>
    </xf>
    <xf numFmtId="38" fontId="29" fillId="0" borderId="36" xfId="42" applyNumberFormat="1" applyFont="1" applyFill="1" applyBorder="1" applyAlignment="1">
      <alignment vertical="center"/>
    </xf>
    <xf numFmtId="38" fontId="119" fillId="0" borderId="32" xfId="42" applyNumberFormat="1" applyFont="1" applyFill="1" applyBorder="1" applyAlignment="1">
      <alignment vertical="center" wrapText="1"/>
    </xf>
    <xf numFmtId="38" fontId="29" fillId="0" borderId="32" xfId="42" applyNumberFormat="1" applyFont="1" applyFill="1" applyBorder="1" applyAlignment="1">
      <alignment vertical="center" wrapText="1"/>
    </xf>
    <xf numFmtId="38" fontId="29" fillId="0" borderId="36" xfId="42" applyNumberFormat="1" applyFont="1" applyFill="1" applyBorder="1" applyAlignment="1">
      <alignment vertical="center" wrapText="1"/>
    </xf>
    <xf numFmtId="38" fontId="120" fillId="0" borderId="37" xfId="42" applyNumberFormat="1" applyFont="1" applyBorder="1" applyAlignment="1">
      <alignment horizontal="left" vertical="center" wrapText="1"/>
    </xf>
    <xf numFmtId="38" fontId="120" fillId="0" borderId="37" xfId="42" applyNumberFormat="1" applyFont="1" applyFill="1" applyBorder="1" applyAlignment="1">
      <alignment vertical="center" wrapText="1"/>
    </xf>
    <xf numFmtId="38" fontId="121" fillId="0" borderId="37" xfId="42" applyNumberFormat="1" applyFont="1" applyFill="1" applyBorder="1" applyAlignment="1">
      <alignment vertical="center" wrapText="1"/>
    </xf>
    <xf numFmtId="38" fontId="120" fillId="0" borderId="31" xfId="42" applyNumberFormat="1" applyFont="1" applyFill="1" applyBorder="1" applyAlignment="1">
      <alignment vertical="center" wrapText="1"/>
    </xf>
    <xf numFmtId="38" fontId="30" fillId="0" borderId="38" xfId="42" applyNumberFormat="1" applyFont="1" applyBorder="1" applyAlignment="1">
      <alignment horizontal="left" vertical="center" wrapText="1"/>
    </xf>
    <xf numFmtId="38" fontId="30" fillId="0" borderId="33" xfId="42" applyNumberFormat="1" applyFont="1" applyBorder="1" applyAlignment="1">
      <alignment horizontal="right" vertical="center" wrapText="1"/>
    </xf>
    <xf numFmtId="38" fontId="122" fillId="0" borderId="0" xfId="42" applyNumberFormat="1" applyFont="1" applyAlignment="1">
      <alignment horizontal="center" vertical="center"/>
    </xf>
    <xf numFmtId="38" fontId="122" fillId="0" borderId="0" xfId="42" applyNumberFormat="1" applyFont="1" applyFill="1" applyAlignment="1">
      <alignment horizontal="center" vertical="center"/>
    </xf>
    <xf numFmtId="38" fontId="28" fillId="0" borderId="32" xfId="42" applyNumberFormat="1" applyFont="1" applyFill="1" applyBorder="1" applyAlignment="1">
      <alignment horizontal="left" vertical="center" wrapText="1"/>
    </xf>
    <xf numFmtId="38" fontId="29" fillId="0" borderId="33" xfId="42" applyNumberFormat="1" applyFont="1" applyFill="1" applyBorder="1" applyAlignment="1">
      <alignment horizontal="right" vertical="center" wrapText="1"/>
    </xf>
    <xf numFmtId="38" fontId="119" fillId="0" borderId="33" xfId="42" applyNumberFormat="1" applyFont="1" applyFill="1" applyBorder="1" applyAlignment="1">
      <alignment horizontal="right" vertical="center" wrapText="1"/>
    </xf>
    <xf numFmtId="38" fontId="29" fillId="33" borderId="33" xfId="42" applyNumberFormat="1" applyFont="1" applyFill="1" applyBorder="1" applyAlignment="1">
      <alignment vertical="center"/>
    </xf>
    <xf numFmtId="38" fontId="28" fillId="0" borderId="33" xfId="42" applyNumberFormat="1" applyFont="1" applyFill="1" applyBorder="1" applyAlignment="1">
      <alignment horizontal="right" vertical="center" wrapText="1"/>
    </xf>
    <xf numFmtId="38" fontId="121" fillId="0" borderId="33" xfId="42" applyNumberFormat="1" applyFont="1" applyFill="1" applyBorder="1" applyAlignment="1">
      <alignment horizontal="right" vertical="center" wrapText="1"/>
    </xf>
    <xf numFmtId="38" fontId="29" fillId="0" borderId="32" xfId="42" applyNumberFormat="1" applyFont="1" applyFill="1" applyBorder="1" applyAlignment="1">
      <alignment vertical="center"/>
    </xf>
    <xf numFmtId="38" fontId="28" fillId="35" borderId="32" xfId="42" applyNumberFormat="1" applyFont="1" applyFill="1" applyBorder="1" applyAlignment="1">
      <alignment horizontal="left" vertical="center" wrapText="1"/>
    </xf>
    <xf numFmtId="38" fontId="29" fillId="35" borderId="32" xfId="42" applyNumberFormat="1" applyFont="1" applyFill="1" applyBorder="1" applyAlignment="1">
      <alignment vertical="center"/>
    </xf>
    <xf numFmtId="38" fontId="119" fillId="0" borderId="32" xfId="42" applyNumberFormat="1" applyFont="1" applyFill="1" applyBorder="1" applyAlignment="1">
      <alignment vertical="center"/>
    </xf>
    <xf numFmtId="38" fontId="1" fillId="35" borderId="0" xfId="42" applyNumberFormat="1" applyFont="1" applyFill="1" applyBorder="1" applyAlignment="1">
      <alignment horizontal="right" vertical="center" wrapText="1"/>
    </xf>
    <xf numFmtId="38" fontId="0" fillId="35" borderId="0" xfId="42" applyNumberFormat="1" applyFont="1" applyFill="1" applyAlignment="1">
      <alignment vertical="center" wrapText="1"/>
    </xf>
    <xf numFmtId="38" fontId="0" fillId="35" borderId="0" xfId="42" applyNumberFormat="1" applyFont="1" applyFill="1" applyAlignment="1">
      <alignment vertical="center"/>
    </xf>
    <xf numFmtId="38" fontId="122" fillId="0" borderId="0" xfId="42" applyNumberFormat="1" applyFont="1" applyAlignment="1" quotePrefix="1">
      <alignment horizontal="center" vertical="center"/>
    </xf>
    <xf numFmtId="38" fontId="121" fillId="10" borderId="33" xfId="42" applyNumberFormat="1" applyFont="1" applyFill="1" applyBorder="1" applyAlignment="1">
      <alignment horizontal="right" vertical="center" wrapText="1"/>
    </xf>
    <xf numFmtId="38" fontId="112" fillId="0" borderId="33" xfId="42" applyNumberFormat="1" applyFont="1" applyFill="1" applyBorder="1" applyAlignment="1">
      <alignment vertical="center"/>
    </xf>
    <xf numFmtId="38" fontId="28" fillId="35" borderId="32" xfId="42" applyNumberFormat="1" applyFont="1" applyFill="1" applyBorder="1" applyAlignment="1">
      <alignment vertical="center" wrapText="1"/>
    </xf>
    <xf numFmtId="38" fontId="0" fillId="0" borderId="0" xfId="42" applyNumberFormat="1" applyFont="1" applyBorder="1" applyAlignment="1">
      <alignment vertical="center"/>
    </xf>
    <xf numFmtId="38" fontId="30" fillId="0" borderId="37" xfId="42" applyNumberFormat="1" applyFont="1" applyBorder="1" applyAlignment="1">
      <alignment horizontal="left" vertical="center" wrapText="1"/>
    </xf>
    <xf numFmtId="38" fontId="123" fillId="0" borderId="30" xfId="42" applyNumberFormat="1" applyFont="1" applyFill="1" applyBorder="1" applyAlignment="1">
      <alignment vertical="center"/>
    </xf>
    <xf numFmtId="38" fontId="121" fillId="0" borderId="30" xfId="42" applyNumberFormat="1" applyFont="1" applyFill="1" applyBorder="1" applyAlignment="1">
      <alignment vertical="center"/>
    </xf>
    <xf numFmtId="38" fontId="28" fillId="0" borderId="33" xfId="42" applyNumberFormat="1" applyFont="1" applyFill="1" applyBorder="1" applyAlignment="1">
      <alignment vertical="center"/>
    </xf>
    <xf numFmtId="38" fontId="121" fillId="0" borderId="33" xfId="42" applyNumberFormat="1" applyFont="1" applyFill="1" applyBorder="1" applyAlignment="1">
      <alignment vertical="center"/>
    </xf>
    <xf numFmtId="41" fontId="77" fillId="12" borderId="0" xfId="44" applyNumberFormat="1" applyFont="1" applyFill="1" applyBorder="1" applyAlignment="1">
      <alignment/>
    </xf>
    <xf numFmtId="38" fontId="121" fillId="33" borderId="33" xfId="42" applyNumberFormat="1" applyFont="1" applyFill="1" applyBorder="1" applyAlignment="1">
      <alignment vertical="center"/>
    </xf>
    <xf numFmtId="38" fontId="29" fillId="0" borderId="39" xfId="42" applyNumberFormat="1" applyFont="1" applyFill="1" applyBorder="1" applyAlignment="1">
      <alignment vertical="center"/>
    </xf>
    <xf numFmtId="38" fontId="119" fillId="0" borderId="40" xfId="42" applyNumberFormat="1" applyFont="1" applyFill="1" applyBorder="1" applyAlignment="1">
      <alignment vertical="center" wrapText="1"/>
    </xf>
    <xf numFmtId="38" fontId="29" fillId="0" borderId="40" xfId="42" applyNumberFormat="1" applyFont="1" applyFill="1" applyBorder="1" applyAlignment="1">
      <alignment vertical="center" wrapText="1"/>
    </xf>
    <xf numFmtId="38" fontId="27" fillId="0" borderId="0" xfId="42" applyNumberFormat="1" applyFont="1" applyAlignment="1">
      <alignment horizontal="center" vertical="center"/>
    </xf>
    <xf numFmtId="38" fontId="28" fillId="0" borderId="40" xfId="42" applyNumberFormat="1" applyFont="1" applyBorder="1" applyAlignment="1">
      <alignment horizontal="left" vertical="center" wrapText="1"/>
    </xf>
    <xf numFmtId="38" fontId="29" fillId="0" borderId="29" xfId="42" applyNumberFormat="1" applyFont="1" applyFill="1" applyBorder="1" applyAlignment="1">
      <alignment vertical="center"/>
    </xf>
    <xf numFmtId="38" fontId="119" fillId="0" borderId="29" xfId="42" applyNumberFormat="1" applyFont="1" applyFill="1" applyBorder="1" applyAlignment="1">
      <alignment vertical="center"/>
    </xf>
    <xf numFmtId="38" fontId="29" fillId="0" borderId="41" xfId="42" applyNumberFormat="1" applyFont="1" applyFill="1" applyBorder="1" applyAlignment="1">
      <alignment vertical="center" wrapText="1"/>
    </xf>
    <xf numFmtId="38" fontId="4" fillId="0" borderId="0" xfId="42" applyNumberFormat="1" applyFont="1" applyAlignment="1">
      <alignment horizontal="center" vertical="center"/>
    </xf>
    <xf numFmtId="38" fontId="28" fillId="0" borderId="0" xfId="42" applyNumberFormat="1" applyFont="1" applyAlignment="1">
      <alignment horizontal="left" vertical="center"/>
    </xf>
    <xf numFmtId="38" fontId="28" fillId="0" borderId="0" xfId="42" applyNumberFormat="1" applyFont="1" applyFill="1" applyAlignment="1">
      <alignment vertical="center"/>
    </xf>
    <xf numFmtId="38" fontId="121" fillId="0" borderId="0" xfId="42" applyNumberFormat="1" applyFont="1" applyFill="1" applyAlignment="1">
      <alignment vertical="center"/>
    </xf>
    <xf numFmtId="38" fontId="5" fillId="0" borderId="0" xfId="42" applyNumberFormat="1" applyFont="1" applyAlignment="1">
      <alignment horizontal="right" vertical="center" wrapText="1"/>
    </xf>
    <xf numFmtId="38" fontId="5" fillId="0" borderId="0" xfId="42" applyNumberFormat="1" applyFont="1" applyAlignment="1">
      <alignment vertical="center" wrapText="1"/>
    </xf>
    <xf numFmtId="38" fontId="5" fillId="0" borderId="0" xfId="42" applyNumberFormat="1" applyFont="1" applyAlignment="1">
      <alignment vertical="center"/>
    </xf>
    <xf numFmtId="38" fontId="0" fillId="0" borderId="0" xfId="42" applyNumberFormat="1" applyFont="1" applyFill="1" applyAlignment="1">
      <alignment horizontal="right" vertical="center"/>
    </xf>
    <xf numFmtId="38" fontId="96" fillId="0" borderId="14" xfId="42" applyNumberFormat="1" applyFont="1" applyFill="1" applyBorder="1" applyAlignment="1">
      <alignment vertical="center"/>
    </xf>
    <xf numFmtId="38" fontId="0" fillId="0" borderId="0" xfId="42" applyNumberFormat="1" applyFont="1" applyFill="1" applyBorder="1" applyAlignment="1">
      <alignment vertical="center"/>
    </xf>
    <xf numFmtId="0" fontId="0" fillId="0" borderId="0" xfId="0" applyAlignment="1">
      <alignment horizontal="left" indent="5"/>
    </xf>
    <xf numFmtId="38" fontId="28" fillId="0" borderId="0" xfId="42" applyNumberFormat="1" applyFont="1" applyAlignment="1">
      <alignment horizontal="center" vertical="center"/>
    </xf>
    <xf numFmtId="38" fontId="29" fillId="0" borderId="0" xfId="42" applyNumberFormat="1" applyFont="1" applyAlignment="1">
      <alignment horizontal="left" vertical="center"/>
    </xf>
    <xf numFmtId="38" fontId="29" fillId="0" borderId="0" xfId="42" applyNumberFormat="1" applyFont="1" applyFill="1" applyAlignment="1">
      <alignment vertical="center"/>
    </xf>
    <xf numFmtId="38" fontId="119" fillId="0" borderId="0" xfId="42" applyNumberFormat="1" applyFont="1" applyFill="1" applyAlignment="1">
      <alignment vertical="center"/>
    </xf>
    <xf numFmtId="0" fontId="0" fillId="0" borderId="0" xfId="0" applyAlignment="1">
      <alignment horizontal="left" indent="2"/>
    </xf>
    <xf numFmtId="38" fontId="119" fillId="0" borderId="14" xfId="42" applyNumberFormat="1" applyFont="1" applyFill="1" applyBorder="1" applyAlignment="1">
      <alignment vertical="center"/>
    </xf>
    <xf numFmtId="38" fontId="28" fillId="33" borderId="0" xfId="42" applyNumberFormat="1" applyFont="1" applyFill="1" applyAlignment="1">
      <alignment horizontal="left" vertical="center"/>
    </xf>
    <xf numFmtId="38" fontId="121" fillId="0" borderId="14" xfId="42" applyNumberFormat="1" applyFont="1" applyFill="1" applyBorder="1" applyAlignment="1">
      <alignment vertical="center"/>
    </xf>
    <xf numFmtId="38" fontId="124" fillId="0" borderId="0" xfId="42" applyNumberFormat="1" applyFont="1" applyAlignment="1">
      <alignment horizontal="left" vertical="center"/>
    </xf>
    <xf numFmtId="38" fontId="1" fillId="33" borderId="0" xfId="42" applyNumberFormat="1" applyFont="1" applyFill="1" applyAlignment="1">
      <alignment vertical="center"/>
    </xf>
    <xf numFmtId="38" fontId="1" fillId="0" borderId="0" xfId="42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4" borderId="26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justify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Copy of cash_flow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57150</xdr:rowOff>
    </xdr:from>
    <xdr:to>
      <xdr:col>5</xdr:col>
      <xdr:colOff>866775</xdr:colOff>
      <xdr:row>1</xdr:row>
      <xdr:rowOff>209550</xdr:rowOff>
    </xdr:to>
    <xdr:sp>
      <xdr:nvSpPr>
        <xdr:cNvPr id="1" name="Down Arrow 1"/>
        <xdr:cNvSpPr>
          <a:spLocks/>
        </xdr:cNvSpPr>
      </xdr:nvSpPr>
      <xdr:spPr>
        <a:xfrm>
          <a:off x="2019300" y="57150"/>
          <a:ext cx="0" cy="390525"/>
        </a:xfrm>
        <a:prstGeom prst="downArrow">
          <a:avLst>
            <a:gd name="adj" fmla="val 5000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38</xdr:row>
      <xdr:rowOff>219075</xdr:rowOff>
    </xdr:from>
    <xdr:to>
      <xdr:col>12</xdr:col>
      <xdr:colOff>561975</xdr:colOff>
      <xdr:row>39</xdr:row>
      <xdr:rowOff>95250</xdr:rowOff>
    </xdr:to>
    <xdr:sp>
      <xdr:nvSpPr>
        <xdr:cNvPr id="2" name="Freeform 2"/>
        <xdr:cNvSpPr>
          <a:spLocks/>
        </xdr:cNvSpPr>
      </xdr:nvSpPr>
      <xdr:spPr>
        <a:xfrm>
          <a:off x="7686675" y="8934450"/>
          <a:ext cx="1276350" cy="114300"/>
        </a:xfrm>
        <a:custGeom>
          <a:pathLst>
            <a:path h="217876" w="1281545">
              <a:moveTo>
                <a:pt x="0" y="8659"/>
              </a:moveTo>
              <a:cubicBezTo>
                <a:pt x="11545" y="25977"/>
                <a:pt x="23927" y="42766"/>
                <a:pt x="34636" y="60614"/>
              </a:cubicBezTo>
              <a:cubicBezTo>
                <a:pt x="41277" y="71683"/>
                <a:pt x="43690" y="85334"/>
                <a:pt x="51954" y="95250"/>
              </a:cubicBezTo>
              <a:cubicBezTo>
                <a:pt x="58616" y="103245"/>
                <a:pt x="69805" y="106067"/>
                <a:pt x="77931" y="112568"/>
              </a:cubicBezTo>
              <a:cubicBezTo>
                <a:pt x="84306" y="117668"/>
                <a:pt x="90023" y="123615"/>
                <a:pt x="95250" y="129887"/>
              </a:cubicBezTo>
              <a:cubicBezTo>
                <a:pt x="163132" y="211345"/>
                <a:pt x="83504" y="128757"/>
                <a:pt x="147204" y="181841"/>
              </a:cubicBezTo>
              <a:cubicBezTo>
                <a:pt x="190445" y="217876"/>
                <a:pt x="153506" y="201260"/>
                <a:pt x="199159" y="216477"/>
              </a:cubicBezTo>
              <a:lnTo>
                <a:pt x="701386" y="207818"/>
              </a:lnTo>
              <a:cubicBezTo>
                <a:pt x="721786" y="207190"/>
                <a:pt x="741623" y="200323"/>
                <a:pt x="762000" y="199159"/>
              </a:cubicBezTo>
              <a:cubicBezTo>
                <a:pt x="842738" y="194545"/>
                <a:pt x="923636" y="193386"/>
                <a:pt x="1004454" y="190500"/>
              </a:cubicBezTo>
              <a:cubicBezTo>
                <a:pt x="1112722" y="163434"/>
                <a:pt x="978121" y="198024"/>
                <a:pt x="1065068" y="173182"/>
              </a:cubicBezTo>
              <a:cubicBezTo>
                <a:pt x="1103282" y="162264"/>
                <a:pt x="1092461" y="168321"/>
                <a:pt x="1125681" y="155864"/>
              </a:cubicBezTo>
              <a:cubicBezTo>
                <a:pt x="1140235" y="150406"/>
                <a:pt x="1155074" y="145497"/>
                <a:pt x="1168977" y="138546"/>
              </a:cubicBezTo>
              <a:cubicBezTo>
                <a:pt x="1236124" y="104972"/>
                <a:pt x="1155633" y="134334"/>
                <a:pt x="1220931" y="112568"/>
              </a:cubicBezTo>
              <a:lnTo>
                <a:pt x="1255568" y="60614"/>
              </a:lnTo>
              <a:cubicBezTo>
                <a:pt x="1265694" y="45425"/>
                <a:pt x="1259978" y="21567"/>
                <a:pt x="1272886" y="8659"/>
              </a:cubicBezTo>
              <a:lnTo>
                <a:pt x="1281545" y="0"/>
              </a:ln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38</xdr:row>
      <xdr:rowOff>219075</xdr:rowOff>
    </xdr:from>
    <xdr:to>
      <xdr:col>11</xdr:col>
      <xdr:colOff>914400</xdr:colOff>
      <xdr:row>39</xdr:row>
      <xdr:rowOff>95250</xdr:rowOff>
    </xdr:to>
    <xdr:sp>
      <xdr:nvSpPr>
        <xdr:cNvPr id="3" name="Straight Arrow Connector 3"/>
        <xdr:cNvSpPr>
          <a:spLocks/>
        </xdr:cNvSpPr>
      </xdr:nvSpPr>
      <xdr:spPr>
        <a:xfrm flipH="1" flipV="1">
          <a:off x="990600" y="8934450"/>
          <a:ext cx="7391400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Users\user\AppData\Local\Microsoft\Windows\Temporary%20Internet%20Files\Content.Outlook\U7GWVCF3\link%20Handal%20Group%20cashflow%20to%20BS%20&amp;%20PL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RB\rina\CONSOL\2015\Sept%202015\Group%20Consol%20Sept%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azarina.HANDAL.000\AppData\Local\Microsoft\Windows\Temporary%20Internet%20Files\Content.Outlook\HQ6CY23C\HRB%20and%20Group-%20Cashflow%2009201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mon%20Lee\Desktop\cashflow.Hossb%20&amp;%20hesb\CFLOw%20%20porj.email%20to%20Liza\cashfw%20Hossb.Sept15-Mar15.Liza\Sept%2015%20Hossbcash%20flow%20proj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URRENT\SALARY\Payroll\Bonus%202015\NEW%20BASIC%20N%20EXGRATIA%20PMNTPCSBFCBKSB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andal%20Group%20perf9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RB%20Mar10-latest\HRB%20Consol%20%20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Documents%20and%20Settings\Shazarina\Desktop\Consol%20Cashflow\HRBcashflow.Mar10\HRB%20Gp.BS,PL,Cashflow%20Q12010-r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azarina.HANDAL.000\AppData\Local\Microsoft\Windows\Temporary%20Internet%20Files\Content.Outlook\HQ6CY23C\Consol%20Cashflow%20working%2031.03.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azarina.HANDAL.000\AppData\Local\Microsoft\Windows\Temporary%20Internet%20Files\Content.Outlook\HQ6CY23C\Consol%20Cashflow%20working%2030.06.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azarina.HANDAL.000\AppData\Local\Microsoft\Windows\Temporary%20Internet%20Files\Content.Outlook\HQ6CY23C\Consol%20Cashflow%20working%2031.3.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RB\rina\CONSOL\2014\Dec%202014\FINAL-%20170415\HRB%20Consol%20Workings%202014%20-%2022%204%202015-Judit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azarina.HANDAL.000\AppData\Local\Microsoft\Windows\Temporary%20Internet%20Files\Content.Outlook\HQ6CY23C\HRB%20and%20Group-%20Cashflow%2003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JV"/>
      <sheetName val="2CF-YTD"/>
      <sheetName val="3PPE SCH"/>
      <sheetName val="5INTEST"/>
      <sheetName val="6BRRW"/>
      <sheetName val="7TAX"/>
      <sheetName val="Bank Bal"/>
      <sheetName val="8work.GW.MI.RE"/>
      <sheetName val="1conso-YTD (2)"/>
      <sheetName val="JV (2)"/>
      <sheetName val="sample work.GW"/>
      <sheetName val="9Dis or acq of subsi"/>
      <sheetName val="Amt due to contractors"/>
      <sheetName val="10Stmt of gain on disposal su"/>
      <sheetName val="MI Handrill"/>
      <sheetName val="MI HOEM"/>
      <sheetName val="4PPE movement"/>
      <sheetName val="Notes"/>
      <sheetName val="Sheet1"/>
    </sheetNames>
    <sheetDataSet>
      <sheetData sheetId="12">
        <row r="13">
          <cell r="U13">
            <v>73576.12082999999</v>
          </cell>
        </row>
        <row r="14">
          <cell r="U14">
            <v>-40819.0918</v>
          </cell>
        </row>
        <row r="17">
          <cell r="U17">
            <v>414.84992</v>
          </cell>
        </row>
        <row r="19">
          <cell r="U19">
            <v>-18451.865300000005</v>
          </cell>
        </row>
        <row r="20">
          <cell r="U20">
            <v>-4592.18408</v>
          </cell>
        </row>
        <row r="21">
          <cell r="U21">
            <v>-2418.54348</v>
          </cell>
        </row>
        <row r="26">
          <cell r="U26">
            <v>-1700.5133899999998</v>
          </cell>
        </row>
        <row r="29">
          <cell r="U29">
            <v>-2932.50125</v>
          </cell>
        </row>
        <row r="31">
          <cell r="U31">
            <v>30.644717936</v>
          </cell>
        </row>
        <row r="33">
          <cell r="U33">
            <v>3105.9161679359795</v>
          </cell>
        </row>
        <row r="70">
          <cell r="U70">
            <v>65730.37256</v>
          </cell>
        </row>
        <row r="72">
          <cell r="U72">
            <v>11958.567</v>
          </cell>
        </row>
        <row r="75">
          <cell r="U75">
            <v>0</v>
          </cell>
        </row>
        <row r="77">
          <cell r="U77">
            <v>0</v>
          </cell>
        </row>
        <row r="78">
          <cell r="U78">
            <v>75.303</v>
          </cell>
        </row>
        <row r="83">
          <cell r="U83">
            <v>12832.501660000002</v>
          </cell>
        </row>
        <row r="84">
          <cell r="U84">
            <v>13786.42493</v>
          </cell>
        </row>
        <row r="87">
          <cell r="U87">
            <v>5651.29533</v>
          </cell>
        </row>
        <row r="88">
          <cell r="U88">
            <v>252.54029000000003</v>
          </cell>
        </row>
        <row r="91">
          <cell r="U91">
            <v>40650.170739999994</v>
          </cell>
        </row>
        <row r="93">
          <cell r="U93">
            <v>227.19138999999998</v>
          </cell>
        </row>
        <row r="94">
          <cell r="U94">
            <v>170.10999999999999</v>
          </cell>
        </row>
        <row r="109">
          <cell r="U109">
            <v>217.59088</v>
          </cell>
        </row>
        <row r="110">
          <cell r="U110">
            <v>31.811709999999998</v>
          </cell>
        </row>
        <row r="111">
          <cell r="U111">
            <v>12031.70507</v>
          </cell>
        </row>
        <row r="112">
          <cell r="U112">
            <v>3001.6157000000007</v>
          </cell>
        </row>
        <row r="113">
          <cell r="U113">
            <v>3773.81482</v>
          </cell>
        </row>
        <row r="123">
          <cell r="U123">
            <v>79999.99999999999</v>
          </cell>
        </row>
        <row r="124">
          <cell r="U124">
            <v>0</v>
          </cell>
        </row>
        <row r="126">
          <cell r="U126">
            <v>28.99172</v>
          </cell>
        </row>
        <row r="127">
          <cell r="U127">
            <v>27330.327682735988</v>
          </cell>
        </row>
        <row r="128">
          <cell r="U128">
            <v>2660.465</v>
          </cell>
        </row>
        <row r="130">
          <cell r="U130">
            <v>-94.02923273600001</v>
          </cell>
        </row>
        <row r="135">
          <cell r="U135">
            <v>0</v>
          </cell>
        </row>
        <row r="136">
          <cell r="U136">
            <v>10127.43032</v>
          </cell>
        </row>
        <row r="137">
          <cell r="U137">
            <v>3933.866</v>
          </cell>
        </row>
        <row r="140">
          <cell r="U140">
            <v>251.19436</v>
          </cell>
        </row>
        <row r="143">
          <cell r="U143">
            <v>7530.93075</v>
          </cell>
        </row>
        <row r="144">
          <cell r="U144">
            <v>3422.63643</v>
          </cell>
        </row>
        <row r="145">
          <cell r="U145">
            <v>1988.2745300000001</v>
          </cell>
        </row>
        <row r="154">
          <cell r="U154">
            <v>430.81567000000007</v>
          </cell>
        </row>
        <row r="155">
          <cell r="U155">
            <v>29256.234819999998</v>
          </cell>
        </row>
        <row r="156">
          <cell r="U156">
            <v>3525.7885500000007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F Workings-Co"/>
      <sheetName val="CF Working-Grp"/>
      <sheetName val="Sheet1"/>
    </sheetNames>
    <sheetDataSet>
      <sheetData sheetId="1">
        <row r="116">
          <cell r="AS116">
            <v>3805.62653</v>
          </cell>
        </row>
        <row r="117">
          <cell r="AS117">
            <v>3001.6157000000007</v>
          </cell>
        </row>
        <row r="118">
          <cell r="AS118">
            <v>12031.70507</v>
          </cell>
        </row>
        <row r="119">
          <cell r="AS119">
            <v>-16210.26675</v>
          </cell>
        </row>
        <row r="120">
          <cell r="AS120">
            <v>-12031.70507</v>
          </cell>
        </row>
      </sheetData>
      <sheetData sheetId="2">
        <row r="28">
          <cell r="N28">
            <v>5656.530209999999</v>
          </cell>
        </row>
        <row r="31">
          <cell r="C31">
            <v>-3296.399660000001</v>
          </cell>
        </row>
        <row r="32">
          <cell r="C32">
            <v>-4411.807079999999</v>
          </cell>
        </row>
        <row r="33">
          <cell r="C33">
            <v>10783.41458000001</v>
          </cell>
        </row>
        <row r="35">
          <cell r="C35">
            <v>-1452.99633</v>
          </cell>
        </row>
        <row r="36">
          <cell r="C36">
            <v>-7334.151029999999</v>
          </cell>
        </row>
        <row r="38">
          <cell r="C38">
            <v>-3995.1026399999996</v>
          </cell>
        </row>
        <row r="41">
          <cell r="C41">
            <v>-579.6606800000001</v>
          </cell>
        </row>
        <row r="42">
          <cell r="C42">
            <v>-2014</v>
          </cell>
        </row>
        <row r="51">
          <cell r="C51">
            <v>0.72464</v>
          </cell>
        </row>
        <row r="52">
          <cell r="C52">
            <v>277.46981</v>
          </cell>
        </row>
        <row r="59">
          <cell r="C59">
            <v>-277.4700699999994</v>
          </cell>
        </row>
        <row r="64">
          <cell r="C64">
            <v>-6438.4694500000005</v>
          </cell>
        </row>
        <row r="70">
          <cell r="C70">
            <v>-1121.1493600000001</v>
          </cell>
        </row>
        <row r="74">
          <cell r="C74">
            <v>1579.2800600000005</v>
          </cell>
        </row>
        <row r="80">
          <cell r="C80">
            <v>-6069.830670000005</v>
          </cell>
        </row>
        <row r="94">
          <cell r="C94">
            <v>3071.0200000000004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1 AUG 2015 AGING  COLLECTION"/>
      <sheetName val="cash flow sept"/>
      <sheetName val="cashbook bal"/>
      <sheetName val="rhb July 15"/>
      <sheetName val="hlb July 15 (2)"/>
      <sheetName val="bb 1 aug"/>
      <sheetName val="payable sept"/>
    </sheetNames>
    <sheetDataSet>
      <sheetData sheetId="0">
        <row r="31">
          <cell r="J31">
            <v>958938.07</v>
          </cell>
        </row>
        <row r="33">
          <cell r="J33">
            <v>6637519.9</v>
          </cell>
        </row>
      </sheetData>
      <sheetData sheetId="2">
        <row r="20">
          <cell r="G20">
            <v>4295636.38</v>
          </cell>
          <cell r="K20">
            <v>-9791505.520000001</v>
          </cell>
        </row>
      </sheetData>
      <sheetData sheetId="3">
        <row r="341">
          <cell r="L341">
            <v>1512000</v>
          </cell>
        </row>
        <row r="348">
          <cell r="L348">
            <v>2387000</v>
          </cell>
        </row>
        <row r="353">
          <cell r="L353">
            <v>1929000</v>
          </cell>
        </row>
        <row r="359">
          <cell r="L359">
            <v>2201000</v>
          </cell>
        </row>
        <row r="365">
          <cell r="L365">
            <v>2418000</v>
          </cell>
        </row>
      </sheetData>
      <sheetData sheetId="4">
        <row r="35">
          <cell r="L35">
            <v>165193.2</v>
          </cell>
        </row>
      </sheetData>
      <sheetData sheetId="5">
        <row r="20">
          <cell r="G20">
            <v>7768350</v>
          </cell>
          <cell r="I20">
            <v>1202000</v>
          </cell>
        </row>
      </sheetData>
      <sheetData sheetId="6">
        <row r="102">
          <cell r="I102">
            <v>2199999.9999999995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NT"/>
      <sheetName val="PCSB"/>
      <sheetName val="FCB "/>
      <sheetName val="KSB "/>
      <sheetName val="LM"/>
      <sheetName val="summary"/>
      <sheetName val="chia siang"/>
      <sheetName val="Sheet1"/>
      <sheetName val="mazwin business summ"/>
    </sheetNames>
    <sheetDataSet>
      <sheetData sheetId="4">
        <row r="62">
          <cell r="F62">
            <v>93920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.Gp"/>
      <sheetName val="cashflow state HOSSB"/>
      <sheetName val="Segment P &amp; L"/>
      <sheetName val="segm rep.6mth"/>
      <sheetName val="segm rep."/>
      <sheetName val="utilise ipo"/>
      <sheetName val="related party.qTR"/>
      <sheetName val="RPT"/>
      <sheetName val="Sheet1"/>
      <sheetName val="taxation"/>
      <sheetName val="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&amp;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1">
        <row r="65">
          <cell r="N65">
            <v>27678.76659</v>
          </cell>
        </row>
        <row r="71">
          <cell r="N71">
            <v>373.97199</v>
          </cell>
        </row>
        <row r="75">
          <cell r="N75">
            <v>5239.74082</v>
          </cell>
        </row>
        <row r="76">
          <cell r="N76">
            <v>199</v>
          </cell>
        </row>
        <row r="77">
          <cell r="N77">
            <v>17984.309699999994</v>
          </cell>
        </row>
        <row r="78">
          <cell r="N78">
            <v>18688.837959999997</v>
          </cell>
        </row>
        <row r="80">
          <cell r="N80">
            <v>597.3788499999999</v>
          </cell>
        </row>
        <row r="81">
          <cell r="N81">
            <v>35</v>
          </cell>
        </row>
        <row r="82">
          <cell r="N82">
            <v>29349.86621</v>
          </cell>
        </row>
        <row r="83">
          <cell r="N83">
            <v>3943.64952</v>
          </cell>
        </row>
        <row r="95">
          <cell r="N95">
            <v>45000</v>
          </cell>
        </row>
        <row r="98">
          <cell r="N98">
            <v>12097.421649</v>
          </cell>
        </row>
        <row r="101">
          <cell r="N101">
            <v>-2.369579</v>
          </cell>
        </row>
        <row r="106">
          <cell r="N106">
            <v>128</v>
          </cell>
        </row>
        <row r="107">
          <cell r="N107">
            <v>21845.727010000002</v>
          </cell>
        </row>
        <row r="108">
          <cell r="N108">
            <v>1143.5</v>
          </cell>
        </row>
        <row r="111">
          <cell r="N111">
            <v>8518.03714</v>
          </cell>
        </row>
        <row r="112">
          <cell r="N112">
            <v>2186.2584</v>
          </cell>
        </row>
        <row r="113">
          <cell r="N113">
            <v>311.98563</v>
          </cell>
        </row>
        <row r="114">
          <cell r="N114">
            <v>12328.228550000002</v>
          </cell>
        </row>
        <row r="115">
          <cell r="N115">
            <v>1489.59725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09"/>
      <sheetName val="CBS3.10"/>
      <sheetName val="BS.VAR"/>
      <sheetName val="Sheet1"/>
      <sheetName val="cashflow."/>
    </sheetNames>
    <sheetDataSet>
      <sheetData sheetId="5">
        <row r="8">
          <cell r="U8">
            <v>2912</v>
          </cell>
        </row>
        <row r="21">
          <cell r="U21">
            <v>3906</v>
          </cell>
        </row>
        <row r="23">
          <cell r="U23">
            <v>312.60903000000053</v>
          </cell>
        </row>
        <row r="24">
          <cell r="U24">
            <v>-1741.777379999996</v>
          </cell>
        </row>
        <row r="25">
          <cell r="U25">
            <v>-1991.7909599999984</v>
          </cell>
        </row>
        <row r="26">
          <cell r="U26">
            <v>770.346</v>
          </cell>
        </row>
        <row r="27">
          <cell r="U27">
            <v>8.91215000000011</v>
          </cell>
        </row>
        <row r="28">
          <cell r="U28">
            <v>-230.72018999999818</v>
          </cell>
        </row>
        <row r="29">
          <cell r="U29">
            <v>-780.1700500000002</v>
          </cell>
        </row>
        <row r="32">
          <cell r="U32">
            <v>254.40860000000794</v>
          </cell>
        </row>
        <row r="34">
          <cell r="R34">
            <v>-43</v>
          </cell>
        </row>
        <row r="35">
          <cell r="R35">
            <v>-832</v>
          </cell>
        </row>
        <row r="37">
          <cell r="U37">
            <v>-620.5913999999921</v>
          </cell>
        </row>
        <row r="41">
          <cell r="U41">
            <v>93</v>
          </cell>
        </row>
        <row r="42">
          <cell r="U42">
            <v>53</v>
          </cell>
        </row>
        <row r="45">
          <cell r="U45">
            <v>-1142</v>
          </cell>
        </row>
        <row r="48">
          <cell r="U48">
            <v>-996</v>
          </cell>
        </row>
        <row r="51">
          <cell r="U51">
            <v>-1007.242</v>
          </cell>
        </row>
        <row r="53">
          <cell r="U53">
            <v>-15</v>
          </cell>
        </row>
        <row r="54">
          <cell r="U54">
            <v>-440</v>
          </cell>
        </row>
        <row r="55">
          <cell r="U55">
            <v>-161.806</v>
          </cell>
        </row>
        <row r="63">
          <cell r="U63">
            <v>-1267.048</v>
          </cell>
        </row>
        <row r="65">
          <cell r="U65">
            <v>-2883.639399999992</v>
          </cell>
        </row>
        <row r="67">
          <cell r="U67">
            <v>18800</v>
          </cell>
        </row>
        <row r="69">
          <cell r="U69">
            <v>15916.360600000007</v>
          </cell>
        </row>
        <row r="75">
          <cell r="N75">
            <v>29350</v>
          </cell>
        </row>
        <row r="76">
          <cell r="N76">
            <v>3944</v>
          </cell>
        </row>
        <row r="77">
          <cell r="N77">
            <v>-8541</v>
          </cell>
        </row>
        <row r="78">
          <cell r="N78">
            <v>24753</v>
          </cell>
        </row>
        <row r="79">
          <cell r="N79">
            <v>-8843</v>
          </cell>
        </row>
        <row r="80">
          <cell r="N80">
            <v>15910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</sheetNames>
    <sheetDataSet>
      <sheetData sheetId="28">
        <row r="25">
          <cell r="C25">
            <v>0</v>
          </cell>
        </row>
        <row r="57">
          <cell r="C57">
            <v>11027.686000000003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</sheetNames>
    <sheetDataSet>
      <sheetData sheetId="33">
        <row r="6">
          <cell r="C6">
            <v>670.6215750020297</v>
          </cell>
        </row>
        <row r="18">
          <cell r="J18">
            <v>1987.8980427333336</v>
          </cell>
        </row>
        <row r="20">
          <cell r="C20">
            <v>-499</v>
          </cell>
        </row>
        <row r="21">
          <cell r="C21">
            <v>-6579</v>
          </cell>
        </row>
        <row r="22">
          <cell r="C22">
            <v>-244.1172085712019</v>
          </cell>
        </row>
        <row r="23">
          <cell r="C23">
            <v>4102</v>
          </cell>
        </row>
        <row r="24">
          <cell r="C24">
            <v>2350.102107030795</v>
          </cell>
        </row>
        <row r="27">
          <cell r="C27">
            <v>-112.77533</v>
          </cell>
        </row>
        <row r="29">
          <cell r="C29">
            <v>-1005</v>
          </cell>
        </row>
        <row r="34">
          <cell r="C34">
            <v>12.656439999999998</v>
          </cell>
        </row>
        <row r="35">
          <cell r="C35">
            <v>127.52656</v>
          </cell>
        </row>
        <row r="36">
          <cell r="C36">
            <v>79.31141000000001</v>
          </cell>
        </row>
        <row r="37">
          <cell r="C37">
            <v>2090.0843300000015</v>
          </cell>
        </row>
        <row r="38">
          <cell r="C38">
            <v>-5791.46975</v>
          </cell>
        </row>
        <row r="39">
          <cell r="C39">
            <v>5.00786</v>
          </cell>
        </row>
        <row r="44">
          <cell r="C44">
            <v>-32.1853</v>
          </cell>
        </row>
        <row r="46">
          <cell r="C46">
            <v>-1598</v>
          </cell>
        </row>
        <row r="47">
          <cell r="C47">
            <v>-624.3929699999999</v>
          </cell>
        </row>
        <row r="49">
          <cell r="C49">
            <v>-275</v>
          </cell>
        </row>
        <row r="51">
          <cell r="C51">
            <v>-3355</v>
          </cell>
        </row>
        <row r="52">
          <cell r="C52">
            <v>-67</v>
          </cell>
        </row>
        <row r="58">
          <cell r="C58">
            <v>5.426444559994707</v>
          </cell>
        </row>
        <row r="62">
          <cell r="C62">
            <v>7811</v>
          </cell>
        </row>
        <row r="63">
          <cell r="C63">
            <v>16318</v>
          </cell>
        </row>
        <row r="66">
          <cell r="C66">
            <v>-9086</v>
          </cell>
        </row>
        <row r="67">
          <cell r="C67">
            <v>-12766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  <sheetName val="Consol0913"/>
      <sheetName val="BSheet0913"/>
      <sheetName val="IS0913"/>
      <sheetName val="Cashflow0913"/>
      <sheetName val="CF Wrkg 0913"/>
      <sheetName val="Consol1213"/>
      <sheetName val="BSheet1213"/>
      <sheetName val="IS1213"/>
      <sheetName val="Cashflow1213"/>
      <sheetName val="CF Wrkg 1213"/>
      <sheetName val="Consol0314"/>
      <sheetName val="BSheet0314"/>
      <sheetName val="IS0314"/>
      <sheetName val="Cashflow0314"/>
      <sheetName val="CF Wrkg 0314"/>
      <sheetName val="by co"/>
    </sheetNames>
    <sheetDataSet>
      <sheetData sheetId="48">
        <row r="28">
          <cell r="B28">
            <v>181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JV"/>
      <sheetName val="2CF-YTD"/>
      <sheetName val="3PPE SCH"/>
      <sheetName val="5INTEST"/>
      <sheetName val="6BRRW"/>
      <sheetName val="7TAX"/>
      <sheetName val="Bank Bal"/>
      <sheetName val="8work.GW.MI.RE"/>
      <sheetName val="1conso-YTD (2)"/>
      <sheetName val="JV (2)"/>
      <sheetName val="sample work.GW"/>
      <sheetName val="9Dis or acq of subsi"/>
      <sheetName val="Amt due to contractors"/>
      <sheetName val="10Stmt of gain on disposal su"/>
      <sheetName val="MI Handrill"/>
      <sheetName val="MI HOEM"/>
      <sheetName val="4PPE movement"/>
      <sheetName val="Notes"/>
      <sheetName val="Sheet1"/>
    </sheetNames>
    <sheetDataSet>
      <sheetData sheetId="12">
        <row r="71">
          <cell r="U71">
            <v>64670341</v>
          </cell>
        </row>
        <row r="73">
          <cell r="U73">
            <v>11958567</v>
          </cell>
        </row>
        <row r="76">
          <cell r="U76">
            <v>0</v>
          </cell>
        </row>
        <row r="78">
          <cell r="U78">
            <v>0</v>
          </cell>
        </row>
        <row r="79">
          <cell r="U79">
            <v>75303</v>
          </cell>
        </row>
        <row r="84">
          <cell r="U84">
            <v>9536102</v>
          </cell>
        </row>
        <row r="85">
          <cell r="U85">
            <v>8100335</v>
          </cell>
        </row>
        <row r="88">
          <cell r="U88">
            <v>4198298</v>
          </cell>
        </row>
        <row r="89">
          <cell r="U89">
            <v>407660</v>
          </cell>
        </row>
        <row r="92">
          <cell r="U92">
            <v>51204315</v>
          </cell>
        </row>
        <row r="94">
          <cell r="U94">
            <v>229822</v>
          </cell>
        </row>
        <row r="95">
          <cell r="U95">
            <v>231165</v>
          </cell>
        </row>
        <row r="96">
          <cell r="U96">
            <v>10466</v>
          </cell>
        </row>
        <row r="110">
          <cell r="U110">
            <v>37943</v>
          </cell>
        </row>
        <row r="111">
          <cell r="U111">
            <v>31087</v>
          </cell>
        </row>
        <row r="112">
          <cell r="U112">
            <v>11754235</v>
          </cell>
        </row>
        <row r="113">
          <cell r="U113">
            <v>7981307</v>
          </cell>
        </row>
        <row r="114">
          <cell r="U114">
            <v>47339</v>
          </cell>
        </row>
        <row r="123">
          <cell r="U123">
            <v>80000000</v>
          </cell>
        </row>
        <row r="124">
          <cell r="U124">
            <v>0</v>
          </cell>
        </row>
        <row r="126">
          <cell r="U126">
            <v>28992</v>
          </cell>
        </row>
        <row r="127">
          <cell r="U127">
            <v>24223370</v>
          </cell>
        </row>
        <row r="128">
          <cell r="U128">
            <v>2660465</v>
          </cell>
        </row>
        <row r="130">
          <cell r="U130">
            <v>-63380</v>
          </cell>
        </row>
        <row r="135">
          <cell r="U135">
            <v>0</v>
          </cell>
        </row>
        <row r="136">
          <cell r="U136">
            <v>9283949</v>
          </cell>
        </row>
        <row r="137">
          <cell r="U137">
            <v>3370366</v>
          </cell>
        </row>
        <row r="140">
          <cell r="U140">
            <v>4246297</v>
          </cell>
        </row>
        <row r="143">
          <cell r="U143">
            <v>13038979</v>
          </cell>
        </row>
        <row r="144">
          <cell r="U144">
            <v>2342155</v>
          </cell>
        </row>
        <row r="145">
          <cell r="U145">
            <v>4864014</v>
          </cell>
        </row>
        <row r="154">
          <cell r="U154">
            <v>0</v>
          </cell>
        </row>
        <row r="155">
          <cell r="U155">
            <v>23487684</v>
          </cell>
        </row>
        <row r="156">
          <cell r="U156">
            <v>2991394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F Workings-Co"/>
      <sheetName val="CF Working-Grp"/>
      <sheetName val="Sheet1"/>
    </sheetNames>
    <sheetDataSet>
      <sheetData sheetId="2">
        <row r="53">
          <cell r="C53">
            <v>0.00326</v>
          </cell>
        </row>
        <row r="55">
          <cell r="C55">
            <v>0</v>
          </cell>
        </row>
        <row r="62">
          <cell r="C62">
            <v>0</v>
          </cell>
        </row>
        <row r="71">
          <cell r="C71">
            <v>0</v>
          </cell>
        </row>
        <row r="81">
          <cell r="C81">
            <v>0</v>
          </cell>
        </row>
        <row r="91">
          <cell r="C91">
            <v>4.547473508864641E-12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8.8515625" style="0" customWidth="1"/>
    <col min="2" max="2" width="50.28125" style="0" customWidth="1"/>
    <col min="3" max="3" width="3.7109375" style="0" customWidth="1"/>
    <col min="4" max="5" width="21.00390625" style="12" hidden="1" customWidth="1"/>
    <col min="6" max="6" width="4.140625" style="203" hidden="1" customWidth="1"/>
    <col min="7" max="8" width="21.00390625" style="12" hidden="1" customWidth="1"/>
    <col min="9" max="9" width="4.8515625" style="12" hidden="1" customWidth="1"/>
    <col min="10" max="11" width="21.00390625" style="12" customWidth="1"/>
    <col min="12" max="12" width="4.7109375" style="179" customWidth="1"/>
    <col min="13" max="14" width="22.140625" style="12" customWidth="1"/>
    <col min="15" max="15" width="4.140625" style="0" customWidth="1"/>
  </cols>
  <sheetData>
    <row r="1" ht="20.25">
      <c r="B1" s="6" t="s">
        <v>122</v>
      </c>
    </row>
    <row r="2" ht="12.75">
      <c r="B2" s="2"/>
    </row>
    <row r="3" spans="2:12" s="51" customFormat="1" ht="15">
      <c r="B3" s="16" t="s">
        <v>212</v>
      </c>
      <c r="F3" s="180"/>
      <c r="L3" s="180"/>
    </row>
    <row r="4" spans="2:15" s="51" customFormat="1" ht="15">
      <c r="B4" s="16" t="s">
        <v>284</v>
      </c>
      <c r="F4" s="180"/>
      <c r="L4" s="180"/>
      <c r="O4" s="85"/>
    </row>
    <row r="5" spans="2:15" s="51" customFormat="1" ht="15">
      <c r="B5" s="86"/>
      <c r="F5" s="180"/>
      <c r="L5" s="180"/>
      <c r="O5" s="85"/>
    </row>
    <row r="6" spans="2:15" s="51" customFormat="1" ht="21" thickBot="1">
      <c r="B6" s="16"/>
      <c r="F6" s="180"/>
      <c r="L6" s="180"/>
      <c r="M6" s="116"/>
      <c r="N6" s="170"/>
      <c r="O6" s="85"/>
    </row>
    <row r="7" spans="4:15" s="51" customFormat="1" ht="15.75" thickBot="1">
      <c r="D7" s="434" t="s">
        <v>85</v>
      </c>
      <c r="E7" s="435"/>
      <c r="F7" s="163"/>
      <c r="G7" s="434" t="s">
        <v>85</v>
      </c>
      <c r="H7" s="435"/>
      <c r="I7" s="234"/>
      <c r="J7" s="434" t="s">
        <v>85</v>
      </c>
      <c r="K7" s="435"/>
      <c r="L7" s="163"/>
      <c r="M7" s="434" t="s">
        <v>124</v>
      </c>
      <c r="N7" s="435"/>
      <c r="O7" s="60"/>
    </row>
    <row r="8" spans="6:15" s="51" customFormat="1" ht="14.25">
      <c r="F8" s="180"/>
      <c r="L8" s="180"/>
      <c r="N8" s="60"/>
      <c r="O8" s="60"/>
    </row>
    <row r="9" spans="3:15" s="51" customFormat="1" ht="12.75" customHeight="1">
      <c r="C9" s="55"/>
      <c r="D9" s="436" t="s">
        <v>135</v>
      </c>
      <c r="E9" s="436" t="s">
        <v>223</v>
      </c>
      <c r="F9" s="56"/>
      <c r="G9" s="436" t="s">
        <v>135</v>
      </c>
      <c r="H9" s="436" t="s">
        <v>223</v>
      </c>
      <c r="I9" s="56"/>
      <c r="J9" s="436" t="s">
        <v>135</v>
      </c>
      <c r="K9" s="436" t="s">
        <v>223</v>
      </c>
      <c r="L9" s="56"/>
      <c r="M9" s="436" t="s">
        <v>226</v>
      </c>
      <c r="N9" s="436" t="s">
        <v>222</v>
      </c>
      <c r="O9" s="60"/>
    </row>
    <row r="10" spans="3:15" s="51" customFormat="1" ht="15">
      <c r="C10" s="55"/>
      <c r="D10" s="436"/>
      <c r="E10" s="437"/>
      <c r="F10" s="180"/>
      <c r="G10" s="436"/>
      <c r="H10" s="437"/>
      <c r="J10" s="436"/>
      <c r="K10" s="437"/>
      <c r="L10" s="180"/>
      <c r="M10" s="436"/>
      <c r="N10" s="437"/>
      <c r="O10" s="60"/>
    </row>
    <row r="11" spans="3:15" s="51" customFormat="1" ht="15">
      <c r="C11" s="55"/>
      <c r="D11" s="436"/>
      <c r="E11" s="437"/>
      <c r="F11" s="180"/>
      <c r="G11" s="436"/>
      <c r="H11" s="437"/>
      <c r="J11" s="436"/>
      <c r="K11" s="437"/>
      <c r="L11" s="180"/>
      <c r="M11" s="436"/>
      <c r="N11" s="437"/>
      <c r="O11" s="60"/>
    </row>
    <row r="12" spans="3:15" s="51" customFormat="1" ht="31.5" customHeight="1">
      <c r="C12" s="55"/>
      <c r="D12" s="436"/>
      <c r="E12" s="437"/>
      <c r="F12" s="180"/>
      <c r="G12" s="436"/>
      <c r="H12" s="437"/>
      <c r="J12" s="436"/>
      <c r="K12" s="437"/>
      <c r="L12" s="180"/>
      <c r="M12" s="436"/>
      <c r="N12" s="437"/>
      <c r="O12" s="60"/>
    </row>
    <row r="13" spans="3:15" s="51" customFormat="1" ht="15">
      <c r="C13" s="58"/>
      <c r="D13" s="57" t="s">
        <v>280</v>
      </c>
      <c r="E13" s="57" t="s">
        <v>263</v>
      </c>
      <c r="F13" s="196"/>
      <c r="G13" s="57" t="s">
        <v>279</v>
      </c>
      <c r="H13" s="57" t="s">
        <v>265</v>
      </c>
      <c r="I13" s="57"/>
      <c r="J13" s="57" t="s">
        <v>283</v>
      </c>
      <c r="K13" s="57" t="s">
        <v>267</v>
      </c>
      <c r="L13" s="196"/>
      <c r="M13" s="57" t="s">
        <v>283</v>
      </c>
      <c r="N13" s="57" t="s">
        <v>267</v>
      </c>
      <c r="O13" s="60"/>
    </row>
    <row r="14" spans="3:15" s="51" customFormat="1" ht="15">
      <c r="C14" s="58"/>
      <c r="D14" s="58" t="s">
        <v>0</v>
      </c>
      <c r="E14" s="58" t="s">
        <v>0</v>
      </c>
      <c r="F14" s="197"/>
      <c r="G14" s="58" t="s">
        <v>0</v>
      </c>
      <c r="H14" s="58" t="s">
        <v>0</v>
      </c>
      <c r="I14" s="58"/>
      <c r="J14" s="58" t="s">
        <v>0</v>
      </c>
      <c r="K14" s="58" t="s">
        <v>0</v>
      </c>
      <c r="L14" s="197"/>
      <c r="M14" s="58" t="s">
        <v>0</v>
      </c>
      <c r="N14" s="58" t="s">
        <v>0</v>
      </c>
      <c r="O14" s="60"/>
    </row>
    <row r="15" spans="3:14" s="51" customFormat="1" ht="15">
      <c r="C15" s="58"/>
      <c r="D15" s="58"/>
      <c r="E15" s="58"/>
      <c r="F15" s="197"/>
      <c r="G15" s="58"/>
      <c r="H15" s="58"/>
      <c r="I15" s="58"/>
      <c r="J15" s="58"/>
      <c r="K15" s="58"/>
      <c r="L15" s="197"/>
      <c r="N15" s="58"/>
    </row>
    <row r="16" spans="2:15" s="51" customFormat="1" ht="15">
      <c r="B16" s="16" t="s">
        <v>1</v>
      </c>
      <c r="C16" s="59"/>
      <c r="D16" s="122">
        <v>20277</v>
      </c>
      <c r="E16" s="122">
        <v>23982</v>
      </c>
      <c r="F16" s="192"/>
      <c r="G16" s="122">
        <v>30395</v>
      </c>
      <c r="H16" s="122">
        <v>25657</v>
      </c>
      <c r="I16" s="122"/>
      <c r="J16" s="122">
        <f>M16-D16-G16</f>
        <v>22904.120829999985</v>
      </c>
      <c r="K16" s="122">
        <v>24309</v>
      </c>
      <c r="L16" s="240"/>
      <c r="M16" s="122">
        <f>'[10]1conso-YTD (2)'!$U$13</f>
        <v>73576.12082999999</v>
      </c>
      <c r="N16" s="122">
        <v>73948</v>
      </c>
      <c r="O16" s="60"/>
    </row>
    <row r="17" spans="3:15" s="51" customFormat="1" ht="14.25">
      <c r="C17" s="59"/>
      <c r="D17" s="122"/>
      <c r="E17" s="122"/>
      <c r="F17" s="192"/>
      <c r="G17" s="122"/>
      <c r="H17" s="122"/>
      <c r="I17" s="122"/>
      <c r="J17" s="122"/>
      <c r="K17" s="122"/>
      <c r="L17" s="240"/>
      <c r="M17" s="122"/>
      <c r="N17" s="122"/>
      <c r="O17" s="60"/>
    </row>
    <row r="18" spans="2:15" s="51" customFormat="1" ht="14.25">
      <c r="B18" s="51" t="s">
        <v>31</v>
      </c>
      <c r="C18" s="59"/>
      <c r="D18" s="122">
        <v>-11219</v>
      </c>
      <c r="E18" s="122">
        <v>-15537</v>
      </c>
      <c r="F18" s="192"/>
      <c r="G18" s="122">
        <v>-17992</v>
      </c>
      <c r="H18" s="122">
        <v>-16471</v>
      </c>
      <c r="I18" s="122"/>
      <c r="J18" s="122">
        <f>M18-D18-G18</f>
        <v>-11608.091800000002</v>
      </c>
      <c r="K18" s="122">
        <v>-12855</v>
      </c>
      <c r="L18" s="240"/>
      <c r="M18" s="122">
        <f>'[10]1conso-YTD (2)'!$U$14</f>
        <v>-40819.0918</v>
      </c>
      <c r="N18" s="122">
        <v>-44863</v>
      </c>
      <c r="O18" s="60"/>
    </row>
    <row r="19" spans="2:15" s="51" customFormat="1" ht="14.25">
      <c r="B19" s="60"/>
      <c r="C19" s="59"/>
      <c r="D19" s="164"/>
      <c r="E19" s="164"/>
      <c r="F19" s="168"/>
      <c r="G19" s="164"/>
      <c r="H19" s="164"/>
      <c r="I19" s="168"/>
      <c r="J19" s="164"/>
      <c r="K19" s="164"/>
      <c r="L19" s="222"/>
      <c r="M19" s="126"/>
      <c r="N19" s="164"/>
      <c r="O19" s="60"/>
    </row>
    <row r="20" spans="2:15" s="51" customFormat="1" ht="15">
      <c r="B20" s="61" t="s">
        <v>32</v>
      </c>
      <c r="C20" s="59"/>
      <c r="D20" s="122">
        <f>SUM(D16:D19)</f>
        <v>9058</v>
      </c>
      <c r="E20" s="122">
        <f>SUM(E16:E19)</f>
        <v>8445</v>
      </c>
      <c r="F20" s="192"/>
      <c r="G20" s="122">
        <f>SUM(G16:G19)</f>
        <v>12403</v>
      </c>
      <c r="H20" s="122">
        <f>SUM(H16:H19)</f>
        <v>9186</v>
      </c>
      <c r="I20" s="122"/>
      <c r="J20" s="122">
        <f>SUM(J16:J19)</f>
        <v>11296.029029999983</v>
      </c>
      <c r="K20" s="122">
        <f>SUM(K16:K19)</f>
        <v>11454</v>
      </c>
      <c r="L20" s="240"/>
      <c r="M20" s="122">
        <f>+M16+M18</f>
        <v>32757.029029999983</v>
      </c>
      <c r="N20" s="192">
        <f>SUM(N16:N18)</f>
        <v>29085</v>
      </c>
      <c r="O20" s="60"/>
    </row>
    <row r="21" spans="3:15" s="51" customFormat="1" ht="14.25">
      <c r="C21" s="59"/>
      <c r="D21" s="125"/>
      <c r="E21" s="125"/>
      <c r="F21" s="168"/>
      <c r="G21" s="125"/>
      <c r="H21" s="125"/>
      <c r="I21" s="125"/>
      <c r="J21" s="125"/>
      <c r="K21" s="125"/>
      <c r="L21" s="222"/>
      <c r="M21" s="125"/>
      <c r="N21" s="125"/>
      <c r="O21" s="60"/>
    </row>
    <row r="22" spans="2:15" s="51" customFormat="1" ht="12.75" customHeight="1">
      <c r="B22" s="51" t="s">
        <v>50</v>
      </c>
      <c r="C22" s="59"/>
      <c r="D22" s="122">
        <v>178</v>
      </c>
      <c r="E22" s="122">
        <v>179</v>
      </c>
      <c r="F22" s="192"/>
      <c r="G22" s="122">
        <v>142</v>
      </c>
      <c r="H22" s="122">
        <v>195</v>
      </c>
      <c r="I22" s="122"/>
      <c r="J22" s="122">
        <f>M22-D22-G22</f>
        <v>94.84992</v>
      </c>
      <c r="K22" s="122">
        <v>572</v>
      </c>
      <c r="L22" s="240"/>
      <c r="M22" s="122">
        <f>'[10]1conso-YTD (2)'!$U$17</f>
        <v>414.84992</v>
      </c>
      <c r="N22" s="122">
        <v>946</v>
      </c>
      <c r="O22" s="87"/>
    </row>
    <row r="23" spans="3:15" s="51" customFormat="1" ht="12.75" customHeight="1">
      <c r="C23" s="59"/>
      <c r="D23" s="122"/>
      <c r="E23" s="122"/>
      <c r="F23" s="192"/>
      <c r="G23" s="122"/>
      <c r="H23" s="122"/>
      <c r="I23" s="122"/>
      <c r="J23" s="122"/>
      <c r="K23" s="122"/>
      <c r="L23" s="240"/>
      <c r="M23" s="122"/>
      <c r="N23" s="122"/>
      <c r="O23" s="87"/>
    </row>
    <row r="24" spans="2:15" s="51" customFormat="1" ht="12.75" customHeight="1">
      <c r="B24" s="180" t="s">
        <v>133</v>
      </c>
      <c r="C24" s="62"/>
      <c r="D24" s="122">
        <v>-6981</v>
      </c>
      <c r="E24" s="122">
        <v>-6029</v>
      </c>
      <c r="F24" s="192"/>
      <c r="G24" s="122">
        <v>-7211</v>
      </c>
      <c r="H24" s="122">
        <v>-6129</v>
      </c>
      <c r="I24" s="122"/>
      <c r="J24" s="122">
        <f>M24-D24-G24</f>
        <v>-8852.049380000004</v>
      </c>
      <c r="K24" s="122">
        <v>-6588</v>
      </c>
      <c r="L24" s="240"/>
      <c r="M24" s="192">
        <f>'[10]1conso-YTD (2)'!$U$19+'[10]1conso-YTD (2)'!$U$20</f>
        <v>-23044.049380000004</v>
      </c>
      <c r="N24" s="122">
        <v>-18746</v>
      </c>
      <c r="O24" s="87"/>
    </row>
    <row r="25" spans="3:15" s="51" customFormat="1" ht="12.75" customHeight="1">
      <c r="C25" s="59"/>
      <c r="D25" s="125"/>
      <c r="E25" s="125"/>
      <c r="F25" s="168"/>
      <c r="G25" s="125"/>
      <c r="H25" s="125"/>
      <c r="I25" s="125"/>
      <c r="J25" s="125"/>
      <c r="K25" s="125"/>
      <c r="L25" s="222"/>
      <c r="M25" s="122"/>
      <c r="N25" s="122"/>
      <c r="O25" s="87"/>
    </row>
    <row r="26" spans="2:15" s="51" customFormat="1" ht="12.75" customHeight="1">
      <c r="B26" s="51" t="s">
        <v>132</v>
      </c>
      <c r="C26" s="59"/>
      <c r="D26" s="122">
        <v>-776</v>
      </c>
      <c r="E26" s="122">
        <v>-798</v>
      </c>
      <c r="F26" s="192"/>
      <c r="G26" s="122">
        <v>-826</v>
      </c>
      <c r="H26" s="122">
        <v>-890</v>
      </c>
      <c r="I26" s="122"/>
      <c r="J26" s="122">
        <f>M26-D26-G26</f>
        <v>-816.5434799999998</v>
      </c>
      <c r="K26" s="122">
        <v>-978</v>
      </c>
      <c r="L26" s="240"/>
      <c r="M26" s="122">
        <f>'[10]1conso-YTD (2)'!$U$21</f>
        <v>-2418.54348</v>
      </c>
      <c r="N26" s="122">
        <v>-2666</v>
      </c>
      <c r="O26" s="87"/>
    </row>
    <row r="27" spans="2:15" s="51" customFormat="1" ht="14.25">
      <c r="B27" s="64"/>
      <c r="C27" s="59"/>
      <c r="D27" s="122"/>
      <c r="E27" s="122"/>
      <c r="F27" s="192"/>
      <c r="G27" s="122"/>
      <c r="H27" s="122"/>
      <c r="I27" s="122"/>
      <c r="J27" s="122"/>
      <c r="K27" s="122"/>
      <c r="L27" s="240"/>
      <c r="M27" s="122"/>
      <c r="N27" s="122"/>
      <c r="O27" s="60"/>
    </row>
    <row r="28" spans="2:15" s="51" customFormat="1" ht="14.25">
      <c r="B28" s="51" t="s">
        <v>51</v>
      </c>
      <c r="C28" s="63"/>
      <c r="D28" s="122">
        <v>-445</v>
      </c>
      <c r="E28" s="122">
        <v>-628</v>
      </c>
      <c r="F28" s="192"/>
      <c r="G28" s="122">
        <v>-607</v>
      </c>
      <c r="H28" s="122">
        <v>-690</v>
      </c>
      <c r="I28" s="122"/>
      <c r="J28" s="122">
        <f>M28-D28-G28</f>
        <v>-648.5133899999998</v>
      </c>
      <c r="K28" s="122">
        <v>-628</v>
      </c>
      <c r="L28" s="240"/>
      <c r="M28" s="122">
        <f>'[10]1conso-YTD (2)'!$U$26</f>
        <v>-1700.5133899999998</v>
      </c>
      <c r="N28" s="122">
        <v>-1946</v>
      </c>
      <c r="O28" s="60"/>
    </row>
    <row r="29" spans="3:15" s="51" customFormat="1" ht="14.25">
      <c r="C29" s="59"/>
      <c r="D29" s="126"/>
      <c r="E29" s="126"/>
      <c r="F29" s="168"/>
      <c r="G29" s="126"/>
      <c r="H29" s="126"/>
      <c r="I29" s="125"/>
      <c r="J29" s="126"/>
      <c r="K29" s="126"/>
      <c r="L29" s="222"/>
      <c r="M29" s="126"/>
      <c r="N29" s="126"/>
      <c r="O29" s="87"/>
    </row>
    <row r="30" spans="2:15" s="51" customFormat="1" ht="15">
      <c r="B30" s="16" t="s">
        <v>277</v>
      </c>
      <c r="C30" s="59"/>
      <c r="D30" s="122">
        <f>SUM(D20:D29)</f>
        <v>1034</v>
      </c>
      <c r="E30" s="122">
        <f>SUM(E20:E29)</f>
        <v>1169</v>
      </c>
      <c r="F30" s="192"/>
      <c r="G30" s="122">
        <f>SUM(G20:G29)</f>
        <v>3901</v>
      </c>
      <c r="H30" s="122">
        <f>SUM(H20:H29)</f>
        <v>1672</v>
      </c>
      <c r="I30" s="122"/>
      <c r="J30" s="122">
        <f>SUM(J20:J29)-1</f>
        <v>1072.7726999999802</v>
      </c>
      <c r="K30" s="122">
        <f>SUM(K20:K29)</f>
        <v>3832</v>
      </c>
      <c r="L30" s="240"/>
      <c r="M30" s="122">
        <f>SUM(M20:M28)-1</f>
        <v>6007.7726999999795</v>
      </c>
      <c r="N30" s="122">
        <f>SUM(N20:N29)</f>
        <v>6673</v>
      </c>
      <c r="O30" s="60"/>
    </row>
    <row r="31" spans="3:15" s="51" customFormat="1" ht="14.25">
      <c r="C31" s="59"/>
      <c r="D31" s="122"/>
      <c r="E31" s="122"/>
      <c r="F31" s="192"/>
      <c r="G31" s="122"/>
      <c r="H31" s="122"/>
      <c r="I31" s="122"/>
      <c r="J31" s="122"/>
      <c r="K31" s="122"/>
      <c r="L31" s="240"/>
      <c r="M31" s="122"/>
      <c r="N31" s="122"/>
      <c r="O31" s="60"/>
    </row>
    <row r="32" spans="2:15" s="51" customFormat="1" ht="14.25">
      <c r="B32" s="51" t="s">
        <v>33</v>
      </c>
      <c r="C32" s="59"/>
      <c r="D32" s="122">
        <v>-505</v>
      </c>
      <c r="E32" s="122">
        <v>-636</v>
      </c>
      <c r="F32" s="192"/>
      <c r="G32" s="122">
        <v>-1374</v>
      </c>
      <c r="H32" s="122">
        <v>-982</v>
      </c>
      <c r="I32" s="122"/>
      <c r="J32" s="122">
        <f>M32-D32-G32</f>
        <v>-1053.5012499999998</v>
      </c>
      <c r="K32" s="122">
        <v>-1452</v>
      </c>
      <c r="L32" s="240"/>
      <c r="M32" s="255">
        <f>'[10]1conso-YTD (2)'!$U$29</f>
        <v>-2932.50125</v>
      </c>
      <c r="N32" s="122">
        <v>-3070</v>
      </c>
      <c r="O32" s="60"/>
    </row>
    <row r="33" spans="3:15" s="51" customFormat="1" ht="14.25">
      <c r="C33" s="59"/>
      <c r="D33" s="125"/>
      <c r="E33" s="125"/>
      <c r="F33" s="168"/>
      <c r="G33" s="125"/>
      <c r="H33" s="125"/>
      <c r="I33" s="125"/>
      <c r="J33" s="125"/>
      <c r="K33" s="125"/>
      <c r="L33" s="222"/>
      <c r="M33" s="126"/>
      <c r="N33" s="126"/>
      <c r="O33" s="87"/>
    </row>
    <row r="34" spans="2:15" s="51" customFormat="1" ht="15.75" thickBot="1">
      <c r="B34" s="16" t="s">
        <v>278</v>
      </c>
      <c r="C34" s="59"/>
      <c r="D34" s="123">
        <f>SUM(D30:D33)</f>
        <v>529</v>
      </c>
      <c r="E34" s="123">
        <f>SUM(E30:E33)</f>
        <v>533</v>
      </c>
      <c r="F34" s="168"/>
      <c r="G34" s="123">
        <f>SUM(G30:G33)</f>
        <v>2527</v>
      </c>
      <c r="H34" s="123">
        <f>SUM(H30:H33)</f>
        <v>690</v>
      </c>
      <c r="I34" s="125"/>
      <c r="J34" s="123">
        <f>SUM(J30:J33)</f>
        <v>19.271449999980405</v>
      </c>
      <c r="K34" s="123">
        <f>SUM(K30:K33)</f>
        <v>2380</v>
      </c>
      <c r="L34" s="222"/>
      <c r="M34" s="123">
        <f>SUM(M30:M33)</f>
        <v>3075.2714499999797</v>
      </c>
      <c r="N34" s="123">
        <f>SUM(N30:N33)</f>
        <v>3603</v>
      </c>
      <c r="O34" s="60"/>
    </row>
    <row r="35" spans="2:15" s="51" customFormat="1" ht="15.75" thickTop="1">
      <c r="B35" s="16"/>
      <c r="C35" s="59"/>
      <c r="D35" s="125"/>
      <c r="E35" s="125"/>
      <c r="F35" s="168"/>
      <c r="G35" s="125"/>
      <c r="H35" s="125"/>
      <c r="I35" s="125"/>
      <c r="J35" s="125"/>
      <c r="K35" s="125"/>
      <c r="L35" s="222"/>
      <c r="M35" s="125"/>
      <c r="N35" s="125"/>
      <c r="O35" s="60"/>
    </row>
    <row r="36" spans="2:15" s="51" customFormat="1" ht="15">
      <c r="B36" s="16" t="s">
        <v>213</v>
      </c>
      <c r="C36" s="176"/>
      <c r="D36" s="175">
        <v>0</v>
      </c>
      <c r="E36" s="232">
        <v>0</v>
      </c>
      <c r="F36" s="273"/>
      <c r="G36" s="175">
        <v>0</v>
      </c>
      <c r="H36" s="232">
        <v>0</v>
      </c>
      <c r="I36" s="232"/>
      <c r="J36" s="122">
        <f>M36-D36-G36</f>
        <v>0</v>
      </c>
      <c r="K36" s="122">
        <v>0</v>
      </c>
      <c r="L36" s="241"/>
      <c r="M36" s="175">
        <v>0</v>
      </c>
      <c r="N36" s="175">
        <v>0</v>
      </c>
      <c r="O36" s="60"/>
    </row>
    <row r="37" spans="2:15" s="51" customFormat="1" ht="15">
      <c r="B37" s="16"/>
      <c r="C37" s="176"/>
      <c r="D37" s="175"/>
      <c r="E37" s="175"/>
      <c r="F37" s="198"/>
      <c r="G37" s="175"/>
      <c r="H37" s="175"/>
      <c r="I37" s="175"/>
      <c r="J37" s="175"/>
      <c r="K37" s="175"/>
      <c r="L37" s="241"/>
      <c r="M37" s="175"/>
      <c r="N37" s="175"/>
      <c r="O37" s="60"/>
    </row>
    <row r="38" spans="2:15" s="51" customFormat="1" ht="15">
      <c r="B38" s="16" t="s">
        <v>214</v>
      </c>
      <c r="C38" s="176"/>
      <c r="D38" s="177">
        <f>SUM(D36:D37)</f>
        <v>0</v>
      </c>
      <c r="E38" s="177">
        <f>SUM(E36:E37)</f>
        <v>0</v>
      </c>
      <c r="F38" s="198"/>
      <c r="G38" s="177">
        <f>SUM(G36:G37)</f>
        <v>0</v>
      </c>
      <c r="H38" s="177">
        <f>SUM(H36:H37)</f>
        <v>0</v>
      </c>
      <c r="I38" s="175"/>
      <c r="J38" s="177">
        <f>SUM(J36:J37)</f>
        <v>0</v>
      </c>
      <c r="K38" s="177">
        <f>SUM(K36:K37)</f>
        <v>0</v>
      </c>
      <c r="L38" s="241"/>
      <c r="M38" s="177">
        <f>SUM(M36:M37)</f>
        <v>0</v>
      </c>
      <c r="N38" s="177">
        <v>0</v>
      </c>
      <c r="O38" s="60"/>
    </row>
    <row r="39" spans="2:15" s="51" customFormat="1" ht="15">
      <c r="B39" s="16"/>
      <c r="C39" s="59"/>
      <c r="D39" s="125"/>
      <c r="E39" s="125"/>
      <c r="F39" s="168"/>
      <c r="G39" s="125"/>
      <c r="H39" s="125"/>
      <c r="I39" s="125"/>
      <c r="J39" s="125"/>
      <c r="K39" s="125"/>
      <c r="L39" s="222"/>
      <c r="M39" s="125"/>
      <c r="N39" s="125"/>
      <c r="O39" s="60"/>
    </row>
    <row r="40" spans="2:15" s="51" customFormat="1" ht="15.75" thickBot="1">
      <c r="B40" s="61" t="s">
        <v>215</v>
      </c>
      <c r="C40" s="59"/>
      <c r="D40" s="127">
        <f>D34</f>
        <v>529</v>
      </c>
      <c r="E40" s="127">
        <f>E34</f>
        <v>533</v>
      </c>
      <c r="F40" s="168"/>
      <c r="G40" s="127">
        <f>G34</f>
        <v>2527</v>
      </c>
      <c r="H40" s="127">
        <f>H34</f>
        <v>690</v>
      </c>
      <c r="I40" s="125"/>
      <c r="J40" s="127">
        <f>J34</f>
        <v>19.271449999980405</v>
      </c>
      <c r="K40" s="127">
        <f>K34</f>
        <v>2380</v>
      </c>
      <c r="L40" s="222"/>
      <c r="M40" s="127">
        <f>M34</f>
        <v>3075.2714499999797</v>
      </c>
      <c r="N40" s="127">
        <f>N34</f>
        <v>3603</v>
      </c>
      <c r="O40" s="60"/>
    </row>
    <row r="41" spans="2:15" s="51" customFormat="1" ht="15.75" thickTop="1">
      <c r="B41" s="16"/>
      <c r="C41" s="59"/>
      <c r="D41" s="125"/>
      <c r="E41" s="125"/>
      <c r="F41" s="168"/>
      <c r="G41" s="125"/>
      <c r="H41" s="125"/>
      <c r="I41" s="125"/>
      <c r="J41" s="125"/>
      <c r="K41" s="125"/>
      <c r="L41" s="222"/>
      <c r="M41" s="125"/>
      <c r="N41" s="125"/>
      <c r="O41" s="60"/>
    </row>
    <row r="42" spans="2:15" s="51" customFormat="1" ht="15">
      <c r="B42" s="16" t="s">
        <v>247</v>
      </c>
      <c r="C42" s="59"/>
      <c r="D42" s="125"/>
      <c r="E42" s="125"/>
      <c r="F42" s="168"/>
      <c r="G42" s="125"/>
      <c r="H42" s="125"/>
      <c r="I42" s="125"/>
      <c r="J42" s="125"/>
      <c r="K42" s="125"/>
      <c r="L42" s="222"/>
      <c r="M42" s="125"/>
      <c r="N42" s="125"/>
      <c r="O42" s="60"/>
    </row>
    <row r="43" spans="2:15" s="51" customFormat="1" ht="15">
      <c r="B43" s="16"/>
      <c r="C43" s="59"/>
      <c r="D43" s="125"/>
      <c r="E43" s="125"/>
      <c r="F43" s="168"/>
      <c r="G43" s="125"/>
      <c r="H43" s="125"/>
      <c r="I43" s="125"/>
      <c r="J43" s="125"/>
      <c r="K43" s="125"/>
      <c r="L43" s="222"/>
      <c r="M43" s="125"/>
      <c r="N43" s="125"/>
      <c r="O43" s="60"/>
    </row>
    <row r="44" spans="2:15" s="51" customFormat="1" ht="14.25">
      <c r="B44" s="51" t="s">
        <v>220</v>
      </c>
      <c r="C44" s="59"/>
      <c r="D44" s="122">
        <v>532</v>
      </c>
      <c r="E44" s="122">
        <v>553</v>
      </c>
      <c r="F44" s="192"/>
      <c r="G44" s="122">
        <v>2532</v>
      </c>
      <c r="H44" s="122">
        <v>698</v>
      </c>
      <c r="I44" s="122"/>
      <c r="J44" s="122">
        <f>M44-D44-G44</f>
        <v>41.9161679359795</v>
      </c>
      <c r="K44" s="122">
        <v>2387</v>
      </c>
      <c r="L44" s="240"/>
      <c r="M44" s="168">
        <f>'[10]1conso-YTD (2)'!$U$33</f>
        <v>3105.9161679359795</v>
      </c>
      <c r="N44" s="168">
        <v>3638</v>
      </c>
      <c r="O44" s="60"/>
    </row>
    <row r="45" spans="3:15" s="51" customFormat="1" ht="14.25">
      <c r="C45" s="59"/>
      <c r="D45" s="168"/>
      <c r="E45" s="168"/>
      <c r="F45" s="168"/>
      <c r="G45" s="168"/>
      <c r="H45" s="168"/>
      <c r="I45" s="168"/>
      <c r="J45" s="168"/>
      <c r="K45" s="168"/>
      <c r="L45" s="222"/>
      <c r="M45" s="168"/>
      <c r="N45" s="168"/>
      <c r="O45" s="60"/>
    </row>
    <row r="46" spans="2:15" s="51" customFormat="1" ht="14.25">
      <c r="B46" s="51" t="s">
        <v>221</v>
      </c>
      <c r="C46" s="59"/>
      <c r="D46" s="122">
        <v>-3</v>
      </c>
      <c r="E46" s="122">
        <v>-20</v>
      </c>
      <c r="F46" s="192"/>
      <c r="G46" s="122">
        <v>-5</v>
      </c>
      <c r="H46" s="122">
        <v>-8</v>
      </c>
      <c r="I46" s="122"/>
      <c r="J46" s="122">
        <f>M46-D46-G46</f>
        <v>-22.644717936</v>
      </c>
      <c r="K46" s="122">
        <v>-7</v>
      </c>
      <c r="L46" s="240"/>
      <c r="M46" s="192">
        <f>-'[10]1conso-YTD (2)'!$U$31</f>
        <v>-30.644717936</v>
      </c>
      <c r="N46" s="192">
        <v>-35</v>
      </c>
      <c r="O46" s="60"/>
    </row>
    <row r="47" spans="2:15" s="51" customFormat="1" ht="15">
      <c r="B47" s="16"/>
      <c r="C47" s="59"/>
      <c r="D47" s="168"/>
      <c r="E47" s="168"/>
      <c r="F47" s="168"/>
      <c r="G47" s="168"/>
      <c r="H47" s="168"/>
      <c r="I47" s="168"/>
      <c r="J47" s="168"/>
      <c r="K47" s="168"/>
      <c r="L47" s="222"/>
      <c r="M47" s="168"/>
      <c r="N47" s="168"/>
      <c r="O47" s="60"/>
    </row>
    <row r="48" spans="2:15" s="51" customFormat="1" ht="15" thickBot="1">
      <c r="B48" s="51" t="s">
        <v>215</v>
      </c>
      <c r="C48" s="59"/>
      <c r="D48" s="193">
        <f>SUM(D44:D47)</f>
        <v>529</v>
      </c>
      <c r="E48" s="193">
        <f>SUM(E44:E47)</f>
        <v>533</v>
      </c>
      <c r="F48" s="168"/>
      <c r="G48" s="193">
        <f>SUM(G44:G47)</f>
        <v>2527</v>
      </c>
      <c r="H48" s="193">
        <f>SUM(H44:H47)</f>
        <v>690</v>
      </c>
      <c r="I48" s="168"/>
      <c r="J48" s="193">
        <f>SUM(J44:J47)</f>
        <v>19.271449999979502</v>
      </c>
      <c r="K48" s="193">
        <f>SUM(K44:K47)</f>
        <v>2380</v>
      </c>
      <c r="L48" s="222"/>
      <c r="M48" s="193">
        <f>SUM(M44:M47)</f>
        <v>3075.2714499999797</v>
      </c>
      <c r="N48" s="193">
        <f>SUM(N44:N47)</f>
        <v>3603</v>
      </c>
      <c r="O48" s="60"/>
    </row>
    <row r="49" spans="3:15" s="51" customFormat="1" ht="15" thickTop="1">
      <c r="C49" s="59"/>
      <c r="D49" s="194"/>
      <c r="E49" s="194"/>
      <c r="F49" s="194"/>
      <c r="G49" s="194"/>
      <c r="H49" s="194"/>
      <c r="I49" s="194"/>
      <c r="J49" s="194"/>
      <c r="K49" s="194"/>
      <c r="L49" s="223"/>
      <c r="M49" s="168"/>
      <c r="N49" s="168"/>
      <c r="O49" s="60"/>
    </row>
    <row r="50" spans="2:15" s="51" customFormat="1" ht="15">
      <c r="B50" s="16"/>
      <c r="C50" s="59"/>
      <c r="D50" s="194"/>
      <c r="E50" s="194"/>
      <c r="F50" s="194"/>
      <c r="G50" s="194"/>
      <c r="H50" s="194"/>
      <c r="I50" s="194"/>
      <c r="J50" s="194"/>
      <c r="K50" s="194"/>
      <c r="L50" s="223"/>
      <c r="M50" s="168"/>
      <c r="N50" s="168"/>
      <c r="O50" s="60"/>
    </row>
    <row r="51" spans="2:15" s="51" customFormat="1" ht="14.25">
      <c r="B51" s="54" t="s">
        <v>140</v>
      </c>
      <c r="C51" s="59"/>
      <c r="D51" s="194"/>
      <c r="E51" s="194"/>
      <c r="F51" s="194"/>
      <c r="G51" s="194"/>
      <c r="H51" s="194"/>
      <c r="I51" s="194"/>
      <c r="J51" s="194"/>
      <c r="K51" s="194"/>
      <c r="L51" s="223"/>
      <c r="M51" s="194"/>
      <c r="N51" s="168"/>
      <c r="O51" s="87"/>
    </row>
    <row r="52" spans="2:15" s="51" customFormat="1" ht="14.25">
      <c r="B52" s="54" t="s">
        <v>141</v>
      </c>
      <c r="C52" s="62"/>
      <c r="D52" s="122">
        <v>160000</v>
      </c>
      <c r="E52" s="122">
        <v>160000</v>
      </c>
      <c r="F52" s="192"/>
      <c r="G52" s="122">
        <v>160000</v>
      </c>
      <c r="H52" s="122">
        <v>160000</v>
      </c>
      <c r="I52" s="122"/>
      <c r="J52" s="122">
        <v>160000</v>
      </c>
      <c r="K52" s="122">
        <v>160000</v>
      </c>
      <c r="L52" s="240"/>
      <c r="M52" s="168">
        <f>160000000/1000</f>
        <v>160000</v>
      </c>
      <c r="N52" s="192">
        <v>160000</v>
      </c>
      <c r="O52" s="87"/>
    </row>
    <row r="53" spans="2:15" s="51" customFormat="1" ht="14.25">
      <c r="B53" s="54"/>
      <c r="C53" s="62"/>
      <c r="D53" s="168"/>
      <c r="E53" s="168"/>
      <c r="F53" s="168"/>
      <c r="G53" s="168"/>
      <c r="H53" s="168"/>
      <c r="I53" s="168"/>
      <c r="J53" s="168"/>
      <c r="K53" s="168"/>
      <c r="L53" s="222"/>
      <c r="M53" s="168"/>
      <c r="N53" s="168"/>
      <c r="O53" s="87"/>
    </row>
    <row r="54" spans="2:15" s="51" customFormat="1" ht="14.25">
      <c r="B54" s="51" t="s">
        <v>216</v>
      </c>
      <c r="C54" s="62"/>
      <c r="D54" s="169">
        <f>D44/D52*100</f>
        <v>0.33249999999999996</v>
      </c>
      <c r="E54" s="169">
        <f>E44/E52*100</f>
        <v>0.345625</v>
      </c>
      <c r="F54" s="169"/>
      <c r="G54" s="169">
        <f>G44/G52*100</f>
        <v>1.5824999999999998</v>
      </c>
      <c r="H54" s="169">
        <f>H44/H52*100</f>
        <v>0.43625</v>
      </c>
      <c r="I54" s="169"/>
      <c r="J54" s="169">
        <f>J44/J52*100</f>
        <v>0.026197604959987186</v>
      </c>
      <c r="K54" s="169">
        <f>K44/K52*100</f>
        <v>1.491875</v>
      </c>
      <c r="L54" s="242"/>
      <c r="M54" s="169">
        <f>M44/M52*100</f>
        <v>1.941197604959987</v>
      </c>
      <c r="N54" s="169">
        <f>N44/N52*100</f>
        <v>2.27375</v>
      </c>
      <c r="O54" s="60"/>
    </row>
    <row r="55" spans="6:15" s="51" customFormat="1" ht="14.25">
      <c r="F55" s="180"/>
      <c r="L55" s="209"/>
      <c r="N55" s="254"/>
      <c r="O55" s="60"/>
    </row>
    <row r="56" spans="3:15" s="51" customFormat="1" ht="14.25">
      <c r="C56" s="65"/>
      <c r="D56" s="65"/>
      <c r="E56" s="65"/>
      <c r="F56" s="199"/>
      <c r="G56" s="65"/>
      <c r="H56" s="65"/>
      <c r="I56" s="65"/>
      <c r="J56" s="65"/>
      <c r="K56" s="65"/>
      <c r="L56" s="199"/>
      <c r="M56" s="65"/>
      <c r="N56" s="65"/>
      <c r="O56" s="60"/>
    </row>
    <row r="57" spans="2:12" s="51" customFormat="1" ht="15">
      <c r="B57" s="66" t="s">
        <v>80</v>
      </c>
      <c r="F57" s="180"/>
      <c r="L57" s="180"/>
    </row>
    <row r="58" spans="2:12" s="51" customFormat="1" ht="15">
      <c r="B58" s="66"/>
      <c r="F58" s="180"/>
      <c r="L58" s="180"/>
    </row>
    <row r="59" spans="1:12" s="51" customFormat="1" ht="18">
      <c r="A59" s="112" t="s">
        <v>125</v>
      </c>
      <c r="B59" s="113" t="s">
        <v>398</v>
      </c>
      <c r="F59" s="180"/>
      <c r="L59" s="180"/>
    </row>
    <row r="60" spans="1:12" s="51" customFormat="1" ht="18">
      <c r="A60" s="113"/>
      <c r="B60" s="113" t="s">
        <v>399</v>
      </c>
      <c r="F60" s="180"/>
      <c r="L60" s="180"/>
    </row>
    <row r="61" spans="1:12" s="51" customFormat="1" ht="18">
      <c r="A61" s="113"/>
      <c r="B61" s="113" t="s">
        <v>400</v>
      </c>
      <c r="F61" s="180"/>
      <c r="L61" s="180"/>
    </row>
    <row r="62" spans="2:12" s="51" customFormat="1" ht="14.25">
      <c r="B62" s="51" t="s">
        <v>99</v>
      </c>
      <c r="F62" s="180"/>
      <c r="L62" s="180"/>
    </row>
    <row r="63" spans="1:12" s="51" customFormat="1" ht="18">
      <c r="A63" s="114" t="s">
        <v>126</v>
      </c>
      <c r="B63" s="113" t="s">
        <v>136</v>
      </c>
      <c r="F63" s="180"/>
      <c r="L63" s="180"/>
    </row>
    <row r="64" spans="1:12" s="51" customFormat="1" ht="18">
      <c r="A64" s="113"/>
      <c r="B64" s="115" t="s">
        <v>137</v>
      </c>
      <c r="F64" s="180"/>
      <c r="L64" s="180"/>
    </row>
    <row r="65" spans="1:12" s="51" customFormat="1" ht="11.25" customHeight="1">
      <c r="A65" s="113"/>
      <c r="B65" s="113"/>
      <c r="F65" s="180"/>
      <c r="L65" s="180"/>
    </row>
    <row r="66" spans="1:12" s="51" customFormat="1" ht="18">
      <c r="A66" s="112" t="s">
        <v>292</v>
      </c>
      <c r="B66" s="113" t="s">
        <v>217</v>
      </c>
      <c r="F66" s="180"/>
      <c r="L66" s="180"/>
    </row>
    <row r="67" spans="1:12" s="51" customFormat="1" ht="18">
      <c r="A67" s="113"/>
      <c r="B67" s="113" t="s">
        <v>274</v>
      </c>
      <c r="F67" s="180"/>
      <c r="L67" s="180"/>
    </row>
    <row r="68" spans="1:12" s="51" customFormat="1" ht="15.75" customHeight="1">
      <c r="A68" s="113"/>
      <c r="B68" s="113" t="s">
        <v>99</v>
      </c>
      <c r="F68" s="180"/>
      <c r="L68" s="180"/>
    </row>
    <row r="71" spans="2:14" ht="12.75">
      <c r="B71" s="38"/>
      <c r="C71" s="38"/>
      <c r="D71" s="229"/>
      <c r="E71" s="229"/>
      <c r="F71" s="274"/>
      <c r="G71" s="229"/>
      <c r="H71" s="229"/>
      <c r="I71" s="229"/>
      <c r="J71" s="229"/>
      <c r="K71" s="229"/>
      <c r="L71" s="200"/>
      <c r="M71" s="229"/>
      <c r="N71" s="229"/>
    </row>
    <row r="72" ht="12.75">
      <c r="N72" s="229"/>
    </row>
    <row r="99" spans="2:13" ht="12.75">
      <c r="B99" s="38"/>
      <c r="C99" s="38"/>
      <c r="D99" s="229"/>
      <c r="E99" s="229"/>
      <c r="F99" s="274"/>
      <c r="G99" s="229"/>
      <c r="H99" s="229"/>
      <c r="I99" s="229"/>
      <c r="J99" s="229"/>
      <c r="K99" s="229"/>
      <c r="L99" s="200"/>
      <c r="M99" s="230" t="e">
        <f>'[2]weighted avr share'!$O$36/1000</f>
        <v>#REF!</v>
      </c>
    </row>
  </sheetData>
  <sheetProtection/>
  <mergeCells count="12">
    <mergeCell ref="M7:N7"/>
    <mergeCell ref="M9:M12"/>
    <mergeCell ref="N9:N12"/>
    <mergeCell ref="G9:G12"/>
    <mergeCell ref="H9:H12"/>
    <mergeCell ref="J7:K7"/>
    <mergeCell ref="J9:J12"/>
    <mergeCell ref="K9:K12"/>
    <mergeCell ref="G7:H7"/>
    <mergeCell ref="D7:E7"/>
    <mergeCell ref="D9:D12"/>
    <mergeCell ref="E9:E12"/>
  </mergeCells>
  <printOptions gridLines="1"/>
  <pageMargins left="0.22" right="0.17" top="0.17" bottom="0.16" header="0.17" footer="0.1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2.57421875" style="0" bestFit="1" customWidth="1"/>
    <col min="2" max="2" width="14.8515625" style="0" bestFit="1" customWidth="1"/>
    <col min="3" max="3" width="2.140625" style="0" bestFit="1" customWidth="1"/>
    <col min="4" max="4" width="16.8515625" style="0" bestFit="1" customWidth="1"/>
    <col min="6" max="6" width="16.8515625" style="0" bestFit="1" customWidth="1"/>
  </cols>
  <sheetData>
    <row r="1" spans="4:6" ht="12.75">
      <c r="D1" s="278" t="s">
        <v>299</v>
      </c>
      <c r="F1" s="278" t="s">
        <v>309</v>
      </c>
    </row>
    <row r="3" spans="1:6" ht="12.75">
      <c r="A3" t="s">
        <v>293</v>
      </c>
      <c r="B3" t="s">
        <v>294</v>
      </c>
      <c r="C3" s="1" t="s">
        <v>296</v>
      </c>
      <c r="D3" s="277" t="s">
        <v>297</v>
      </c>
      <c r="F3" s="277" t="s">
        <v>297</v>
      </c>
    </row>
    <row r="4" spans="2:6" ht="12.75">
      <c r="B4" t="s">
        <v>295</v>
      </c>
      <c r="C4" s="1"/>
      <c r="D4" s="1" t="s">
        <v>298</v>
      </c>
      <c r="F4" s="280" t="s">
        <v>310</v>
      </c>
    </row>
    <row r="5" ht="12.75">
      <c r="C5" s="280"/>
    </row>
    <row r="6" spans="3:6" ht="12.75">
      <c r="C6" s="1" t="s">
        <v>296</v>
      </c>
      <c r="D6" s="279" t="s">
        <v>305</v>
      </c>
      <c r="F6" s="283" t="s">
        <v>311</v>
      </c>
    </row>
    <row r="7" spans="2:6" ht="12.75">
      <c r="B7" s="12"/>
      <c r="C7" s="13"/>
      <c r="D7" s="280" t="s">
        <v>306</v>
      </c>
      <c r="F7" s="284">
        <v>123837</v>
      </c>
    </row>
    <row r="8" spans="3:4" ht="12.75">
      <c r="C8" s="13"/>
      <c r="D8" s="1"/>
    </row>
    <row r="9" spans="3:6" ht="13.5" thickBot="1">
      <c r="C9" s="281" t="s">
        <v>296</v>
      </c>
      <c r="D9" s="282">
        <f>(40650*12)/(73576*2)</f>
        <v>3.3149396542350766</v>
      </c>
      <c r="F9" s="282">
        <f>(51204*12)/123837</f>
        <v>4.961748104362993</v>
      </c>
    </row>
    <row r="10" ht="13.5" thickTop="1">
      <c r="C10" s="13"/>
    </row>
    <row r="11" ht="12.75">
      <c r="C11" s="13"/>
    </row>
    <row r="12" spans="1:6" ht="12.75">
      <c r="A12" s="12" t="s">
        <v>300</v>
      </c>
      <c r="B12" s="12" t="s">
        <v>301</v>
      </c>
      <c r="C12" s="281" t="s">
        <v>296</v>
      </c>
      <c r="D12" s="283" t="s">
        <v>303</v>
      </c>
      <c r="F12" s="283" t="s">
        <v>303</v>
      </c>
    </row>
    <row r="13" spans="2:6" ht="12.75">
      <c r="B13" s="12" t="s">
        <v>302</v>
      </c>
      <c r="C13" s="1"/>
      <c r="D13" s="280" t="s">
        <v>304</v>
      </c>
      <c r="F13" s="280" t="s">
        <v>312</v>
      </c>
    </row>
    <row r="14" ht="12.75">
      <c r="C14" s="1"/>
    </row>
    <row r="15" spans="3:6" ht="12.75">
      <c r="C15" s="280" t="s">
        <v>296</v>
      </c>
      <c r="D15" s="283" t="s">
        <v>307</v>
      </c>
      <c r="F15" s="283" t="s">
        <v>313</v>
      </c>
    </row>
    <row r="16" spans="3:6" ht="12.75">
      <c r="C16" s="1"/>
      <c r="D16" s="280" t="s">
        <v>308</v>
      </c>
      <c r="F16" s="284">
        <v>76689</v>
      </c>
    </row>
    <row r="18" spans="3:6" ht="13.5" thickBot="1">
      <c r="C18" s="12" t="s">
        <v>296</v>
      </c>
      <c r="D18" s="282">
        <f>(7531*12)/(40819*2)</f>
        <v>1.1069844925157402</v>
      </c>
      <c r="F18" s="282">
        <f>(13039*12)/76689</f>
        <v>2.040292610413488</v>
      </c>
    </row>
    <row r="19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A42" sqref="A42"/>
    </sheetView>
  </sheetViews>
  <sheetFormatPr defaultColWidth="9.140625" defaultRowHeight="18.75" customHeight="1"/>
  <cols>
    <col min="1" max="1" width="5.57421875" style="337" customWidth="1"/>
    <col min="2" max="2" width="24.7109375" style="346" customWidth="1"/>
    <col min="3" max="4" width="17.28125" style="346" hidden="1" customWidth="1"/>
    <col min="5" max="5" width="18.140625" style="342" hidden="1" customWidth="1"/>
    <col min="6" max="6" width="15.00390625" style="341" hidden="1" customWidth="1"/>
    <col min="7" max="7" width="15.421875" style="342" customWidth="1"/>
    <col min="8" max="8" width="17.140625" style="342" customWidth="1"/>
    <col min="9" max="9" width="17.421875" style="342" customWidth="1"/>
    <col min="10" max="10" width="16.28125" style="342" customWidth="1"/>
    <col min="11" max="11" width="15.421875" style="342" customWidth="1"/>
    <col min="12" max="12" width="14.00390625" style="342" customWidth="1"/>
    <col min="13" max="13" width="15.7109375" style="342" customWidth="1"/>
    <col min="14" max="14" width="20.28125" style="343" customWidth="1"/>
    <col min="15" max="15" width="14.421875" style="344" customWidth="1"/>
    <col min="16" max="16" width="33.8515625" style="345" customWidth="1"/>
    <col min="17" max="17" width="15.57421875" style="345" customWidth="1"/>
    <col min="18" max="16384" width="9.140625" style="345" customWidth="1"/>
  </cols>
  <sheetData>
    <row r="1" spans="2:5" ht="18.75" customHeight="1">
      <c r="B1" s="338" t="s">
        <v>333</v>
      </c>
      <c r="C1" s="339"/>
      <c r="D1" s="339"/>
      <c r="E1" s="340" t="s">
        <v>334</v>
      </c>
    </row>
    <row r="2" spans="2:7" ht="18.75" customHeight="1" thickBot="1">
      <c r="B2" s="346" t="s">
        <v>335</v>
      </c>
      <c r="F2" s="347"/>
      <c r="G2" s="340"/>
    </row>
    <row r="3" ht="18.75" customHeight="1" hidden="1">
      <c r="N3" s="348"/>
    </row>
    <row r="4" spans="2:14" ht="23.25" customHeight="1" thickBot="1" thickTop="1">
      <c r="B4" s="349" t="s">
        <v>336</v>
      </c>
      <c r="C4" s="350" t="s">
        <v>337</v>
      </c>
      <c r="D4" s="351" t="s">
        <v>338</v>
      </c>
      <c r="E4" s="350" t="s">
        <v>339</v>
      </c>
      <c r="F4" s="352" t="s">
        <v>340</v>
      </c>
      <c r="G4" s="350">
        <v>42248</v>
      </c>
      <c r="H4" s="350" t="s">
        <v>341</v>
      </c>
      <c r="I4" s="350">
        <v>42309</v>
      </c>
      <c r="J4" s="350" t="s">
        <v>342</v>
      </c>
      <c r="K4" s="350">
        <v>42370</v>
      </c>
      <c r="L4" s="350">
        <v>42401</v>
      </c>
      <c r="M4" s="353" t="s">
        <v>343</v>
      </c>
      <c r="N4" s="354"/>
    </row>
    <row r="5" spans="1:15" ht="18.75" customHeight="1" thickTop="1">
      <c r="A5" s="355">
        <v>5</v>
      </c>
      <c r="B5" s="356" t="s">
        <v>344</v>
      </c>
      <c r="C5" s="357" t="e">
        <f>#REF!</f>
        <v>#REF!</v>
      </c>
      <c r="D5" s="357">
        <f>10647991.93-D6</f>
        <v>7343657.07</v>
      </c>
      <c r="E5" s="358" t="e">
        <f>#REF!</f>
        <v>#REF!</v>
      </c>
      <c r="F5" s="359" t="e">
        <f>#REF!</f>
        <v>#REF!</v>
      </c>
      <c r="G5" s="360">
        <f>'[12]31 AUG 2015 AGING  COLLECTION'!J33</f>
        <v>6637519.9</v>
      </c>
      <c r="H5" s="360">
        <v>8611816</v>
      </c>
      <c r="I5" s="360">
        <f>6206115+4911000</f>
        <v>11117115</v>
      </c>
      <c r="J5" s="360">
        <v>6451500</v>
      </c>
      <c r="K5" s="360">
        <v>5815524</v>
      </c>
      <c r="L5" s="360">
        <v>3822500</v>
      </c>
      <c r="M5" s="361">
        <v>7201823</v>
      </c>
      <c r="N5" s="362"/>
      <c r="O5" s="363"/>
    </row>
    <row r="6" spans="1:14" ht="24.75" customHeight="1">
      <c r="A6" s="355">
        <v>6</v>
      </c>
      <c r="B6" s="364" t="s">
        <v>345</v>
      </c>
      <c r="C6" s="357" t="e">
        <f>#REF!</f>
        <v>#REF!</v>
      </c>
      <c r="D6" s="357">
        <v>3304334.86</v>
      </c>
      <c r="E6" s="365" t="e">
        <f>#REF!</f>
        <v>#REF!</v>
      </c>
      <c r="F6" s="366" t="e">
        <f>#REF!</f>
        <v>#REF!</v>
      </c>
      <c r="G6" s="365">
        <f>'[12]31 AUG 2015 AGING  COLLECTION'!J31</f>
        <v>958938.07</v>
      </c>
      <c r="H6" s="365">
        <v>1200000</v>
      </c>
      <c r="I6" s="365">
        <v>1200000</v>
      </c>
      <c r="J6" s="365">
        <v>1200000</v>
      </c>
      <c r="K6" s="365">
        <v>1200000</v>
      </c>
      <c r="L6" s="365">
        <v>1200000</v>
      </c>
      <c r="M6" s="367">
        <v>1200000</v>
      </c>
      <c r="N6" s="362"/>
    </row>
    <row r="7" spans="2:14" ht="3.75" customHeight="1" thickBot="1">
      <c r="B7" s="364"/>
      <c r="C7" s="357"/>
      <c r="D7" s="357"/>
      <c r="E7" s="365"/>
      <c r="F7" s="368"/>
      <c r="G7" s="369"/>
      <c r="H7" s="369"/>
      <c r="I7" s="369"/>
      <c r="J7" s="369"/>
      <c r="K7" s="369"/>
      <c r="L7" s="369"/>
      <c r="M7" s="370"/>
      <c r="N7" s="362"/>
    </row>
    <row r="8" spans="1:14" ht="18.75" customHeight="1" thickBot="1" thickTop="1">
      <c r="A8" s="337" t="s">
        <v>346</v>
      </c>
      <c r="B8" s="371" t="s">
        <v>347</v>
      </c>
      <c r="C8" s="372" t="e">
        <f>SUM(C5:C7)</f>
        <v>#REF!</v>
      </c>
      <c r="D8" s="372">
        <f>SUM(D5:D7)</f>
        <v>10647991.93</v>
      </c>
      <c r="E8" s="372" t="e">
        <f aca="true" t="shared" si="0" ref="E8:M8">SUM(E5:E7)</f>
        <v>#REF!</v>
      </c>
      <c r="F8" s="373" t="e">
        <f t="shared" si="0"/>
        <v>#REF!</v>
      </c>
      <c r="G8" s="372">
        <f t="shared" si="0"/>
        <v>7596457.970000001</v>
      </c>
      <c r="H8" s="372">
        <f>SUM(H5:H7)</f>
        <v>9811816</v>
      </c>
      <c r="I8" s="372">
        <f>SUM(I5:I7)</f>
        <v>12317115</v>
      </c>
      <c r="J8" s="372">
        <f t="shared" si="0"/>
        <v>7651500</v>
      </c>
      <c r="K8" s="372">
        <f t="shared" si="0"/>
        <v>7015524</v>
      </c>
      <c r="L8" s="372">
        <f t="shared" si="0"/>
        <v>5022500</v>
      </c>
      <c r="M8" s="374">
        <f t="shared" si="0"/>
        <v>8401823</v>
      </c>
      <c r="N8" s="354"/>
    </row>
    <row r="9" spans="2:14" ht="4.5" customHeight="1" thickTop="1">
      <c r="B9" s="364"/>
      <c r="C9" s="357"/>
      <c r="D9" s="357"/>
      <c r="E9" s="365"/>
      <c r="F9" s="368"/>
      <c r="G9" s="369"/>
      <c r="H9" s="369"/>
      <c r="I9" s="369"/>
      <c r="J9" s="369"/>
      <c r="K9" s="369"/>
      <c r="L9" s="369"/>
      <c r="M9" s="369"/>
      <c r="N9" s="362"/>
    </row>
    <row r="10" spans="2:14" ht="18.75" customHeight="1" thickBot="1">
      <c r="B10" s="375" t="s">
        <v>348</v>
      </c>
      <c r="C10" s="376"/>
      <c r="D10" s="376"/>
      <c r="E10" s="365"/>
      <c r="F10" s="368"/>
      <c r="G10" s="369"/>
      <c r="H10" s="369"/>
      <c r="I10" s="369"/>
      <c r="J10" s="369"/>
      <c r="K10" s="369"/>
      <c r="L10" s="369"/>
      <c r="M10" s="369"/>
      <c r="N10" s="354"/>
    </row>
    <row r="11" spans="1:14" ht="18.75" customHeight="1">
      <c r="A11" s="377">
        <v>7</v>
      </c>
      <c r="B11" s="364" t="s">
        <v>349</v>
      </c>
      <c r="C11" s="357" t="e">
        <f>#REF!</f>
        <v>#REF!</v>
      </c>
      <c r="D11" s="357">
        <v>2587000</v>
      </c>
      <c r="E11" s="365" t="e">
        <f>#REF!</f>
        <v>#REF!</v>
      </c>
      <c r="F11" s="368">
        <f>'[12]rhb July 15'!L341</f>
        <v>1512000</v>
      </c>
      <c r="G11" s="369">
        <f>'[12]rhb July 15'!L348</f>
        <v>2387000</v>
      </c>
      <c r="H11" s="369">
        <f>'[12]rhb July 15'!L353</f>
        <v>1929000</v>
      </c>
      <c r="I11" s="369">
        <f>'[12]rhb July 15'!L359</f>
        <v>2201000</v>
      </c>
      <c r="J11" s="369">
        <f>'[12]rhb July 15'!L365</f>
        <v>2418000</v>
      </c>
      <c r="K11" s="369">
        <v>2300000</v>
      </c>
      <c r="L11" s="369">
        <v>2600000</v>
      </c>
      <c r="M11" s="369">
        <v>2500000</v>
      </c>
      <c r="N11" s="362"/>
    </row>
    <row r="12" spans="1:14" ht="18.75" customHeight="1">
      <c r="A12" s="377">
        <v>8</v>
      </c>
      <c r="B12" s="364" t="s">
        <v>350</v>
      </c>
      <c r="C12" s="357"/>
      <c r="D12" s="357"/>
      <c r="E12" s="365" t="e">
        <f>#REF!</f>
        <v>#REF!</v>
      </c>
      <c r="F12" s="368">
        <f>'[12]hlb July 15 (2)'!L35</f>
        <v>165193.2</v>
      </c>
      <c r="G12" s="369">
        <v>280120</v>
      </c>
      <c r="H12" s="369">
        <v>100791</v>
      </c>
      <c r="I12" s="369">
        <v>200000</v>
      </c>
      <c r="J12" s="369">
        <v>200000</v>
      </c>
      <c r="K12" s="369">
        <v>200000</v>
      </c>
      <c r="L12" s="369">
        <v>200000</v>
      </c>
      <c r="M12" s="369">
        <v>200000</v>
      </c>
      <c r="N12" s="362"/>
    </row>
    <row r="13" spans="1:14" ht="18.75" customHeight="1">
      <c r="A13" s="378">
        <v>9</v>
      </c>
      <c r="B13" s="379" t="s">
        <v>351</v>
      </c>
      <c r="C13" s="357">
        <v>400000</v>
      </c>
      <c r="D13" s="357">
        <v>400000</v>
      </c>
      <c r="E13" s="380">
        <v>400000</v>
      </c>
      <c r="F13" s="381">
        <v>400000</v>
      </c>
      <c r="G13" s="380">
        <v>400000</v>
      </c>
      <c r="H13" s="380">
        <v>400000</v>
      </c>
      <c r="I13" s="380">
        <v>400000</v>
      </c>
      <c r="J13" s="380"/>
      <c r="K13" s="380"/>
      <c r="L13" s="380"/>
      <c r="M13" s="380"/>
      <c r="N13" s="362"/>
    </row>
    <row r="14" spans="1:14" ht="18.75" customHeight="1">
      <c r="A14" s="377">
        <v>10</v>
      </c>
      <c r="B14" s="364" t="s">
        <v>352</v>
      </c>
      <c r="C14" s="357">
        <v>200000</v>
      </c>
      <c r="D14" s="357">
        <v>200000</v>
      </c>
      <c r="E14" s="365">
        <v>200000</v>
      </c>
      <c r="F14" s="368">
        <v>200000</v>
      </c>
      <c r="G14" s="369">
        <v>200000</v>
      </c>
      <c r="H14" s="369">
        <v>200000</v>
      </c>
      <c r="I14" s="369">
        <v>200000</v>
      </c>
      <c r="J14" s="369">
        <v>200000</v>
      </c>
      <c r="K14" s="369">
        <v>200000</v>
      </c>
      <c r="L14" s="369">
        <v>200000</v>
      </c>
      <c r="M14" s="369">
        <v>200000</v>
      </c>
      <c r="N14" s="362"/>
    </row>
    <row r="15" spans="1:14" ht="24.75" customHeight="1">
      <c r="A15" s="378">
        <v>11</v>
      </c>
      <c r="B15" s="379" t="s">
        <v>353</v>
      </c>
      <c r="C15" s="357"/>
      <c r="D15" s="357"/>
      <c r="E15" s="369"/>
      <c r="F15" s="368">
        <v>540000</v>
      </c>
      <c r="G15" s="369">
        <v>216235</v>
      </c>
      <c r="H15" s="369">
        <v>216235</v>
      </c>
      <c r="I15" s="369">
        <v>216235</v>
      </c>
      <c r="J15" s="369">
        <v>216235</v>
      </c>
      <c r="K15" s="369">
        <v>216235</v>
      </c>
      <c r="L15" s="369">
        <v>216235</v>
      </c>
      <c r="M15" s="369">
        <v>216235</v>
      </c>
      <c r="N15" s="362"/>
    </row>
    <row r="16" spans="1:14" ht="18.75" customHeight="1">
      <c r="A16" s="378">
        <v>12</v>
      </c>
      <c r="B16" s="379" t="s">
        <v>354</v>
      </c>
      <c r="C16" s="357"/>
      <c r="D16" s="357"/>
      <c r="E16" s="382"/>
      <c r="F16" s="368"/>
      <c r="G16" s="369"/>
      <c r="H16" s="369"/>
      <c r="I16" s="369"/>
      <c r="J16" s="369"/>
      <c r="K16" s="369"/>
      <c r="L16" s="369"/>
      <c r="M16" s="369"/>
      <c r="N16" s="362"/>
    </row>
    <row r="17" spans="1:14" ht="18.75" customHeight="1">
      <c r="A17" s="377">
        <v>13</v>
      </c>
      <c r="B17" s="364" t="s">
        <v>355</v>
      </c>
      <c r="C17" s="357">
        <f>2771556</f>
        <v>2771556</v>
      </c>
      <c r="D17" s="357">
        <v>2771556</v>
      </c>
      <c r="E17" s="357">
        <f>2771556+30000+101209</f>
        <v>2902765</v>
      </c>
      <c r="F17" s="383">
        <f aca="true" t="shared" si="1" ref="F17:M17">2771556+30000+101209+93920</f>
        <v>2996685</v>
      </c>
      <c r="G17" s="357">
        <f t="shared" si="1"/>
        <v>2996685</v>
      </c>
      <c r="H17" s="357">
        <f t="shared" si="1"/>
        <v>2996685</v>
      </c>
      <c r="I17" s="357">
        <f t="shared" si="1"/>
        <v>2996685</v>
      </c>
      <c r="J17" s="357">
        <f t="shared" si="1"/>
        <v>2996685</v>
      </c>
      <c r="K17" s="357">
        <f t="shared" si="1"/>
        <v>2996685</v>
      </c>
      <c r="L17" s="357">
        <f t="shared" si="1"/>
        <v>2996685</v>
      </c>
      <c r="M17" s="357">
        <f t="shared" si="1"/>
        <v>2996685</v>
      </c>
      <c r="N17" s="362"/>
    </row>
    <row r="18" spans="1:14" ht="18.75" customHeight="1">
      <c r="A18" s="377">
        <v>14</v>
      </c>
      <c r="B18" s="364" t="s">
        <v>356</v>
      </c>
      <c r="C18" s="357"/>
      <c r="D18" s="357"/>
      <c r="E18" s="357">
        <v>625483</v>
      </c>
      <c r="F18" s="384"/>
      <c r="G18" s="357"/>
      <c r="H18" s="357"/>
      <c r="I18" s="357"/>
      <c r="J18" s="357"/>
      <c r="K18" s="357"/>
      <c r="L18" s="385"/>
      <c r="M18" s="385"/>
      <c r="N18" s="362"/>
    </row>
    <row r="19" spans="1:15" s="391" customFormat="1" ht="18.75" customHeight="1">
      <c r="A19" s="377">
        <v>15</v>
      </c>
      <c r="B19" s="386" t="s">
        <v>357</v>
      </c>
      <c r="C19" s="387">
        <f>93920*6</f>
        <v>563520</v>
      </c>
      <c r="D19" s="387">
        <v>563520</v>
      </c>
      <c r="E19" s="387">
        <f>'[13]LM'!$F$62</f>
        <v>93920</v>
      </c>
      <c r="F19" s="388"/>
      <c r="G19" s="387"/>
      <c r="H19" s="387"/>
      <c r="I19" s="387"/>
      <c r="J19" s="387"/>
      <c r="K19" s="387"/>
      <c r="L19" s="387"/>
      <c r="M19" s="387"/>
      <c r="N19" s="389"/>
      <c r="O19" s="390"/>
    </row>
    <row r="20" spans="1:14" ht="18.75" customHeight="1">
      <c r="A20" s="392" t="s">
        <v>358</v>
      </c>
      <c r="B20" s="364" t="s">
        <v>359</v>
      </c>
      <c r="C20" s="357">
        <v>300000</v>
      </c>
      <c r="D20" s="357">
        <v>300000</v>
      </c>
      <c r="E20" s="365">
        <f>300000+100000</f>
        <v>400000</v>
      </c>
      <c r="F20" s="388">
        <v>300000</v>
      </c>
      <c r="G20" s="385">
        <v>300000</v>
      </c>
      <c r="H20" s="385">
        <v>300000</v>
      </c>
      <c r="I20" s="385">
        <v>300000</v>
      </c>
      <c r="J20" s="385">
        <v>300000</v>
      </c>
      <c r="K20" s="385"/>
      <c r="L20" s="385">
        <v>300000</v>
      </c>
      <c r="M20" s="385">
        <v>300000</v>
      </c>
      <c r="N20" s="362"/>
    </row>
    <row r="21" spans="1:14" ht="18.75" customHeight="1">
      <c r="A21" s="392" t="s">
        <v>360</v>
      </c>
      <c r="B21" s="364" t="s">
        <v>361</v>
      </c>
      <c r="C21" s="357"/>
      <c r="D21" s="357"/>
      <c r="E21" s="365"/>
      <c r="F21" s="366">
        <v>300000</v>
      </c>
      <c r="G21" s="365">
        <v>142000</v>
      </c>
      <c r="H21" s="365">
        <v>300000</v>
      </c>
      <c r="I21" s="365">
        <v>300000</v>
      </c>
      <c r="J21" s="365">
        <v>300000</v>
      </c>
      <c r="K21" s="365">
        <v>300000</v>
      </c>
      <c r="L21" s="365">
        <v>300000</v>
      </c>
      <c r="M21" s="365">
        <v>300000</v>
      </c>
      <c r="N21" s="362"/>
    </row>
    <row r="22" spans="1:14" ht="18.75" customHeight="1">
      <c r="A22" s="392" t="s">
        <v>362</v>
      </c>
      <c r="B22" s="364" t="s">
        <v>363</v>
      </c>
      <c r="C22" s="357" t="e">
        <f>#REF!+#REF!</f>
        <v>#REF!</v>
      </c>
      <c r="D22" s="357">
        <v>2791934</v>
      </c>
      <c r="E22" s="365">
        <f>2500000+400000+215000</f>
        <v>3115000</v>
      </c>
      <c r="F22" s="366">
        <f>'[12]payable sept'!I95</f>
        <v>0</v>
      </c>
      <c r="G22" s="365">
        <f>'[12]payable sept'!I102</f>
        <v>2199999.9999999995</v>
      </c>
      <c r="H22" s="365">
        <v>2200000</v>
      </c>
      <c r="I22" s="365">
        <v>2200000</v>
      </c>
      <c r="J22" s="365">
        <v>2200000</v>
      </c>
      <c r="K22" s="365">
        <v>2200000</v>
      </c>
      <c r="L22" s="365">
        <v>2200000</v>
      </c>
      <c r="M22" s="365">
        <v>2200000</v>
      </c>
      <c r="N22" s="362"/>
    </row>
    <row r="23" spans="1:14" ht="24" customHeight="1">
      <c r="A23" s="392" t="s">
        <v>364</v>
      </c>
      <c r="B23" s="364" t="s">
        <v>365</v>
      </c>
      <c r="C23" s="357">
        <v>1030000</v>
      </c>
      <c r="D23" s="357">
        <v>1030000</v>
      </c>
      <c r="E23" s="357">
        <v>1320000</v>
      </c>
      <c r="F23" s="384" t="e">
        <f>#REF!</f>
        <v>#REF!</v>
      </c>
      <c r="G23" s="393">
        <f>962000+5000</f>
        <v>967000</v>
      </c>
      <c r="H23" s="393">
        <f aca="true" t="shared" si="2" ref="H23:M23">962000+5000</f>
        <v>967000</v>
      </c>
      <c r="I23" s="393">
        <f t="shared" si="2"/>
        <v>967000</v>
      </c>
      <c r="J23" s="393">
        <f t="shared" si="2"/>
        <v>967000</v>
      </c>
      <c r="K23" s="393">
        <f t="shared" si="2"/>
        <v>967000</v>
      </c>
      <c r="L23" s="393">
        <f t="shared" si="2"/>
        <v>967000</v>
      </c>
      <c r="M23" s="393">
        <f t="shared" si="2"/>
        <v>967000</v>
      </c>
      <c r="N23" s="362"/>
    </row>
    <row r="24" spans="1:14" ht="18.75" customHeight="1">
      <c r="A24" s="392" t="s">
        <v>366</v>
      </c>
      <c r="B24" s="364" t="s">
        <v>367</v>
      </c>
      <c r="C24" s="357"/>
      <c r="D24" s="357"/>
      <c r="E24" s="394">
        <v>133650</v>
      </c>
      <c r="F24" s="394">
        <v>400950</v>
      </c>
      <c r="G24" s="394">
        <v>133650</v>
      </c>
      <c r="H24" s="394">
        <v>133650</v>
      </c>
      <c r="I24" s="394">
        <v>133650</v>
      </c>
      <c r="J24" s="394">
        <v>133650</v>
      </c>
      <c r="K24" s="394">
        <v>133650</v>
      </c>
      <c r="L24" s="394">
        <v>133650</v>
      </c>
      <c r="M24" s="394">
        <v>133650</v>
      </c>
      <c r="N24" s="362"/>
    </row>
    <row r="25" spans="1:14" ht="18.75" customHeight="1">
      <c r="A25" s="392" t="s">
        <v>368</v>
      </c>
      <c r="B25" s="364" t="s">
        <v>369</v>
      </c>
      <c r="C25" s="357">
        <v>50000</v>
      </c>
      <c r="D25" s="357"/>
      <c r="E25" s="357">
        <v>50000</v>
      </c>
      <c r="F25" s="384">
        <v>50000</v>
      </c>
      <c r="G25" s="357">
        <v>50000</v>
      </c>
      <c r="H25" s="357">
        <v>50000</v>
      </c>
      <c r="I25" s="369"/>
      <c r="J25" s="395"/>
      <c r="K25" s="369"/>
      <c r="L25" s="369"/>
      <c r="M25" s="369"/>
      <c r="N25" s="362"/>
    </row>
    <row r="26" spans="1:14" ht="27" customHeight="1">
      <c r="A26" s="392" t="s">
        <v>370</v>
      </c>
      <c r="B26" s="364" t="s">
        <v>371</v>
      </c>
      <c r="C26" s="357">
        <v>39600</v>
      </c>
      <c r="D26" s="357">
        <v>39600</v>
      </c>
      <c r="E26" s="357">
        <f>90000+39600</f>
        <v>129600</v>
      </c>
      <c r="F26" s="384">
        <v>90000</v>
      </c>
      <c r="G26" s="357">
        <v>60000</v>
      </c>
      <c r="H26" s="357">
        <v>60000</v>
      </c>
      <c r="I26" s="369"/>
      <c r="J26" s="395"/>
      <c r="K26" s="369"/>
      <c r="L26" s="369"/>
      <c r="M26" s="369"/>
      <c r="N26" s="362"/>
    </row>
    <row r="27" spans="1:14" ht="36">
      <c r="A27" s="392" t="s">
        <v>372</v>
      </c>
      <c r="B27" s="364" t="s">
        <v>373</v>
      </c>
      <c r="C27" s="383"/>
      <c r="D27" s="383"/>
      <c r="E27" s="394"/>
      <c r="F27" s="368">
        <v>1600000</v>
      </c>
      <c r="G27" s="369"/>
      <c r="H27" s="369"/>
      <c r="I27" s="369"/>
      <c r="J27" s="369"/>
      <c r="K27" s="369"/>
      <c r="L27" s="369"/>
      <c r="M27" s="369"/>
      <c r="N27" s="362"/>
    </row>
    <row r="28" spans="1:14" ht="24">
      <c r="A28" s="392"/>
      <c r="B28" s="364" t="s">
        <v>374</v>
      </c>
      <c r="C28" s="383"/>
      <c r="D28" s="383"/>
      <c r="E28" s="394"/>
      <c r="F28" s="368">
        <v>387000</v>
      </c>
      <c r="G28" s="369"/>
      <c r="H28" s="369"/>
      <c r="I28" s="369"/>
      <c r="J28" s="369"/>
      <c r="K28" s="369"/>
      <c r="L28" s="369"/>
      <c r="M28" s="369"/>
      <c r="N28" s="362"/>
    </row>
    <row r="29" spans="1:14" ht="18.75" customHeight="1">
      <c r="A29" s="392" t="s">
        <v>375</v>
      </c>
      <c r="B29" s="364" t="s">
        <v>376</v>
      </c>
      <c r="C29" s="357">
        <f>'[12]bb 1 aug'!I20</f>
        <v>1202000</v>
      </c>
      <c r="D29" s="357">
        <v>484000</v>
      </c>
      <c r="E29" s="394"/>
      <c r="F29" s="368">
        <f>'[12]bb 1 aug'!I20</f>
        <v>1202000</v>
      </c>
      <c r="G29" s="369"/>
      <c r="H29" s="369"/>
      <c r="I29" s="369"/>
      <c r="J29" s="369"/>
      <c r="K29" s="369"/>
      <c r="L29" s="369"/>
      <c r="M29" s="369"/>
      <c r="N29" s="396"/>
    </row>
    <row r="30" spans="2:14" ht="3.75" customHeight="1" thickBot="1">
      <c r="B30" s="364"/>
      <c r="C30" s="357"/>
      <c r="D30" s="357"/>
      <c r="E30" s="365">
        <v>0</v>
      </c>
      <c r="F30" s="368"/>
      <c r="G30" s="369"/>
      <c r="H30" s="369"/>
      <c r="I30" s="369"/>
      <c r="J30" s="369"/>
      <c r="K30" s="369"/>
      <c r="L30" s="369"/>
      <c r="M30" s="369"/>
      <c r="N30" s="396"/>
    </row>
    <row r="31" spans="1:14" ht="18.75" customHeight="1" thickBot="1" thickTop="1">
      <c r="A31" s="337" t="s">
        <v>377</v>
      </c>
      <c r="B31" s="397" t="s">
        <v>378</v>
      </c>
      <c r="C31" s="398" t="e">
        <f aca="true" t="shared" si="3" ref="C31:I31">SUM(C11:C29)</f>
        <v>#REF!</v>
      </c>
      <c r="D31" s="398">
        <f t="shared" si="3"/>
        <v>11167610</v>
      </c>
      <c r="E31" s="398" t="e">
        <f t="shared" si="3"/>
        <v>#REF!</v>
      </c>
      <c r="F31" s="399" t="e">
        <f t="shared" si="3"/>
        <v>#REF!</v>
      </c>
      <c r="G31" s="398">
        <f t="shared" si="3"/>
        <v>10332690</v>
      </c>
      <c r="H31" s="398">
        <f t="shared" si="3"/>
        <v>9853361</v>
      </c>
      <c r="I31" s="398">
        <f t="shared" si="3"/>
        <v>10114570</v>
      </c>
      <c r="J31" s="398">
        <f>SUM(J11:J29)</f>
        <v>9931570</v>
      </c>
      <c r="K31" s="398">
        <f>SUM(K11:K29)</f>
        <v>9513570</v>
      </c>
      <c r="L31" s="398">
        <f>SUM(L11:L29)</f>
        <v>10113570</v>
      </c>
      <c r="M31" s="398">
        <f>SUM(M11:M29)</f>
        <v>10013570</v>
      </c>
      <c r="N31" s="354"/>
    </row>
    <row r="32" spans="2:14" ht="11.25" customHeight="1" thickTop="1">
      <c r="B32" s="364"/>
      <c r="C32" s="357"/>
      <c r="D32" s="357"/>
      <c r="E32" s="365"/>
      <c r="F32" s="368"/>
      <c r="G32" s="369"/>
      <c r="H32" s="369"/>
      <c r="I32" s="369"/>
      <c r="J32" s="369"/>
      <c r="K32" s="369"/>
      <c r="L32" s="369"/>
      <c r="M32" s="369"/>
      <c r="N32" s="362"/>
    </row>
    <row r="33" spans="1:14" ht="29.25" customHeight="1">
      <c r="A33" s="337" t="s">
        <v>379</v>
      </c>
      <c r="B33" s="364" t="s">
        <v>380</v>
      </c>
      <c r="C33" s="400">
        <f>'[12]cashbook bal'!G20</f>
        <v>4295636.38</v>
      </c>
      <c r="D33" s="400">
        <f aca="true" t="shared" si="4" ref="D33:M33">D8-D31</f>
        <v>-519618.0700000003</v>
      </c>
      <c r="E33" s="400" t="e">
        <f t="shared" si="4"/>
        <v>#REF!</v>
      </c>
      <c r="F33" s="401" t="e">
        <f t="shared" si="4"/>
        <v>#REF!</v>
      </c>
      <c r="G33" s="400">
        <f t="shared" si="4"/>
        <v>-2736232.0299999993</v>
      </c>
      <c r="H33" s="400">
        <f t="shared" si="4"/>
        <v>-41545</v>
      </c>
      <c r="I33" s="400">
        <f t="shared" si="4"/>
        <v>2202545</v>
      </c>
      <c r="J33" s="400">
        <f t="shared" si="4"/>
        <v>-2280070</v>
      </c>
      <c r="K33" s="400">
        <f t="shared" si="4"/>
        <v>-2498046</v>
      </c>
      <c r="L33" s="400">
        <f t="shared" si="4"/>
        <v>-5091070</v>
      </c>
      <c r="M33" s="400">
        <f t="shared" si="4"/>
        <v>-1611747</v>
      </c>
      <c r="N33" s="362"/>
    </row>
    <row r="34" spans="2:14" ht="6.75" customHeight="1">
      <c r="B34" s="364"/>
      <c r="C34" s="357"/>
      <c r="D34" s="357"/>
      <c r="E34" s="365"/>
      <c r="F34" s="368"/>
      <c r="G34" s="369"/>
      <c r="H34" s="369"/>
      <c r="I34" s="369"/>
      <c r="J34" s="369"/>
      <c r="K34" s="369"/>
      <c r="L34" s="369"/>
      <c r="M34" s="369"/>
      <c r="N34" s="362"/>
    </row>
    <row r="35" spans="1:14" ht="18.75" customHeight="1">
      <c r="A35" s="337" t="s">
        <v>381</v>
      </c>
      <c r="B35" s="402" t="s">
        <v>382</v>
      </c>
      <c r="C35" s="357">
        <f>'[12]bb 1 aug'!G20</f>
        <v>7768350</v>
      </c>
      <c r="D35" s="357">
        <v>12753000</v>
      </c>
      <c r="E35" s="400">
        <f aca="true" t="shared" si="5" ref="E35:J35">D37</f>
        <v>12233381.93</v>
      </c>
      <c r="F35" s="403" t="e">
        <f>#REF!</f>
        <v>#REF!</v>
      </c>
      <c r="G35" s="400">
        <f>'[12]cashbook bal'!K20</f>
        <v>-9791505.520000001</v>
      </c>
      <c r="H35" s="400">
        <f t="shared" si="5"/>
        <v>-12527737.55</v>
      </c>
      <c r="I35" s="400">
        <f t="shared" si="5"/>
        <v>-12569282.55</v>
      </c>
      <c r="J35" s="400">
        <f t="shared" si="5"/>
        <v>-10366737.55</v>
      </c>
      <c r="K35" s="400">
        <f>J37</f>
        <v>-12646807.55</v>
      </c>
      <c r="L35" s="400">
        <f>K37</f>
        <v>-15144853.55</v>
      </c>
      <c r="M35" s="400">
        <f>L37</f>
        <v>-20235923.55</v>
      </c>
      <c r="N35" s="362"/>
    </row>
    <row r="36" spans="2:14" ht="12" customHeight="1" thickBot="1">
      <c r="B36" s="364"/>
      <c r="C36" s="357"/>
      <c r="D36" s="357"/>
      <c r="E36" s="404"/>
      <c r="F36" s="405"/>
      <c r="G36" s="406"/>
      <c r="H36" s="406"/>
      <c r="I36" s="369"/>
      <c r="J36" s="369"/>
      <c r="K36" s="369"/>
      <c r="L36" s="369"/>
      <c r="M36" s="369"/>
      <c r="N36" s="362"/>
    </row>
    <row r="37" spans="1:14" ht="18.75" customHeight="1" thickBot="1" thickTop="1">
      <c r="A37" s="407" t="s">
        <v>383</v>
      </c>
      <c r="B37" s="408" t="s">
        <v>384</v>
      </c>
      <c r="C37" s="409">
        <f>C33+C35</f>
        <v>12063986.379999999</v>
      </c>
      <c r="D37" s="409">
        <f aca="true" t="shared" si="6" ref="D37:K37">D33+D35</f>
        <v>12233381.93</v>
      </c>
      <c r="E37" s="409" t="e">
        <f t="shared" si="6"/>
        <v>#REF!</v>
      </c>
      <c r="F37" s="410" t="e">
        <f t="shared" si="6"/>
        <v>#REF!</v>
      </c>
      <c r="G37" s="409">
        <f t="shared" si="6"/>
        <v>-12527737.55</v>
      </c>
      <c r="H37" s="409">
        <f t="shared" si="6"/>
        <v>-12569282.55</v>
      </c>
      <c r="I37" s="409">
        <f t="shared" si="6"/>
        <v>-10366737.55</v>
      </c>
      <c r="J37" s="409">
        <f t="shared" si="6"/>
        <v>-12646807.55</v>
      </c>
      <c r="K37" s="409">
        <f t="shared" si="6"/>
        <v>-15144853.55</v>
      </c>
      <c r="L37" s="411">
        <f>L33+L35</f>
        <v>-20235923.55</v>
      </c>
      <c r="M37" s="411">
        <f>M33+M35</f>
        <v>-21847670.55</v>
      </c>
      <c r="N37" s="362"/>
    </row>
    <row r="38" spans="1:15" s="418" customFormat="1" ht="18.75" customHeight="1" thickTop="1">
      <c r="A38" s="412" t="s">
        <v>385</v>
      </c>
      <c r="B38" s="413" t="s">
        <v>386</v>
      </c>
      <c r="C38" s="414">
        <v>-9500000</v>
      </c>
      <c r="D38" s="414">
        <v>-9500000</v>
      </c>
      <c r="E38" s="414">
        <v>-9500000</v>
      </c>
      <c r="F38" s="415">
        <f>-9500000-6000000</f>
        <v>-15500000</v>
      </c>
      <c r="G38" s="415">
        <v>-15500000</v>
      </c>
      <c r="H38" s="415">
        <v>-15500000</v>
      </c>
      <c r="I38" s="415">
        <v>-15500000</v>
      </c>
      <c r="J38" s="415">
        <v>-15500000</v>
      </c>
      <c r="K38" s="415">
        <v>-15500000</v>
      </c>
      <c r="L38" s="415">
        <v>-15500000</v>
      </c>
      <c r="M38" s="415">
        <v>-15500000</v>
      </c>
      <c r="N38" s="416"/>
      <c r="O38" s="417"/>
    </row>
    <row r="39" spans="1:15" ht="18.75" customHeight="1">
      <c r="A39" s="337" t="s">
        <v>387</v>
      </c>
      <c r="B39" s="431" t="s">
        <v>388</v>
      </c>
      <c r="G39" s="342">
        <f>G37-G38</f>
        <v>2972262.4499999993</v>
      </c>
      <c r="H39" s="342">
        <f aca="true" t="shared" si="7" ref="H39:M39">H37-H38</f>
        <v>2930717.4499999993</v>
      </c>
      <c r="I39" s="342">
        <f t="shared" si="7"/>
        <v>5133262.449999999</v>
      </c>
      <c r="J39" s="342">
        <f t="shared" si="7"/>
        <v>2853192.4499999993</v>
      </c>
      <c r="K39" s="342">
        <f t="shared" si="7"/>
        <v>355146.44999999925</v>
      </c>
      <c r="L39" s="432">
        <f t="shared" si="7"/>
        <v>-4735923.550000001</v>
      </c>
      <c r="M39" s="432">
        <f t="shared" si="7"/>
        <v>-6347670.550000001</v>
      </c>
      <c r="O39"/>
    </row>
    <row r="40" spans="10:15" ht="7.5" customHeight="1">
      <c r="J40" s="419"/>
      <c r="O40"/>
    </row>
    <row r="41" spans="6:15" ht="3.75" customHeight="1" thickBot="1">
      <c r="F41" s="420" t="e">
        <f>SUM(#REF!)</f>
        <v>#REF!</v>
      </c>
      <c r="I41" s="421"/>
      <c r="J41" s="421"/>
      <c r="K41" s="421"/>
      <c r="O41" s="422"/>
    </row>
    <row r="42" spans="1:15" ht="18.75" customHeight="1" thickTop="1">
      <c r="A42" s="423"/>
      <c r="B42" s="429" t="s">
        <v>389</v>
      </c>
      <c r="C42" s="424"/>
      <c r="D42" s="424"/>
      <c r="E42" s="425"/>
      <c r="F42" s="426"/>
      <c r="G42" s="425"/>
      <c r="I42" s="421"/>
      <c r="J42" s="421"/>
      <c r="K42" s="421"/>
      <c r="L42" s="433" t="s">
        <v>395</v>
      </c>
      <c r="M42" s="421"/>
      <c r="O42" s="427"/>
    </row>
    <row r="43" spans="1:15" ht="18.75" customHeight="1">
      <c r="A43" s="423"/>
      <c r="B43" s="424" t="s">
        <v>390</v>
      </c>
      <c r="C43" s="424"/>
      <c r="D43" s="424"/>
      <c r="E43" s="425"/>
      <c r="F43" s="426">
        <v>2000000</v>
      </c>
      <c r="G43" s="426">
        <v>2000000</v>
      </c>
      <c r="I43" s="421"/>
      <c r="J43" s="421"/>
      <c r="K43" s="421"/>
      <c r="L43" s="342" t="s">
        <v>397</v>
      </c>
      <c r="O43" s="427"/>
    </row>
    <row r="44" spans="1:15" ht="18.75" customHeight="1">
      <c r="A44" s="423"/>
      <c r="B44" s="424" t="s">
        <v>391</v>
      </c>
      <c r="C44" s="424"/>
      <c r="D44" s="424"/>
      <c r="E44" s="425"/>
      <c r="F44" s="426">
        <v>5000000</v>
      </c>
      <c r="G44" s="426">
        <v>5000000</v>
      </c>
      <c r="L44" s="342" t="s">
        <v>396</v>
      </c>
      <c r="O44" s="422"/>
    </row>
    <row r="45" spans="1:15" ht="18.75" customHeight="1">
      <c r="A45" s="423"/>
      <c r="B45" s="424" t="s">
        <v>392</v>
      </c>
      <c r="C45" s="424"/>
      <c r="D45" s="424"/>
      <c r="E45" s="425"/>
      <c r="F45" s="426">
        <v>2500000</v>
      </c>
      <c r="G45" s="426">
        <v>2500000</v>
      </c>
      <c r="O45" s="422"/>
    </row>
    <row r="46" spans="1:15" ht="18.75" customHeight="1">
      <c r="A46" s="423"/>
      <c r="B46" s="424" t="s">
        <v>393</v>
      </c>
      <c r="C46" s="424"/>
      <c r="D46" s="424"/>
      <c r="E46" s="425"/>
      <c r="F46" s="426">
        <v>6000000</v>
      </c>
      <c r="G46" s="426">
        <v>6000000</v>
      </c>
      <c r="O46" s="422"/>
    </row>
    <row r="47" spans="1:15" ht="18.75" customHeight="1" thickBot="1">
      <c r="A47" s="423"/>
      <c r="B47" s="413" t="s">
        <v>394</v>
      </c>
      <c r="C47" s="424"/>
      <c r="D47" s="424"/>
      <c r="E47" s="425"/>
      <c r="F47" s="428">
        <f>SUM(F43:F46)</f>
        <v>15500000</v>
      </c>
      <c r="G47" s="430">
        <f>SUM(G43:G46)</f>
        <v>15500000</v>
      </c>
      <c r="O47"/>
    </row>
    <row r="48" ht="18.75" customHeight="1" thickTop="1">
      <c r="O48"/>
    </row>
    <row r="49" ht="18.75" customHeight="1">
      <c r="O49"/>
    </row>
    <row r="50" ht="18.75" customHeight="1">
      <c r="O50"/>
    </row>
    <row r="51" ht="18.75" customHeight="1">
      <c r="O51"/>
    </row>
  </sheetData>
  <sheetProtection/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5.57421875" style="0" customWidth="1"/>
    <col min="4" max="4" width="23.140625" style="0" customWidth="1"/>
    <col min="5" max="5" width="17.57421875" style="0" customWidth="1"/>
    <col min="6" max="6" width="19.57421875" style="0" customWidth="1"/>
    <col min="7" max="7" width="24.00390625" style="0" hidden="1" customWidth="1"/>
  </cols>
  <sheetData>
    <row r="2" spans="1:6" ht="15">
      <c r="A2" s="285"/>
      <c r="B2" s="285" t="s">
        <v>315</v>
      </c>
      <c r="C2" s="285"/>
      <c r="D2" s="285"/>
      <c r="E2" s="285"/>
      <c r="F2" s="285"/>
    </row>
    <row r="3" ht="13.5" thickBot="1"/>
    <row r="4" spans="2:7" ht="15">
      <c r="B4" s="286" t="s">
        <v>316</v>
      </c>
      <c r="C4" s="287" t="s">
        <v>317</v>
      </c>
      <c r="D4" s="288" t="s">
        <v>318</v>
      </c>
      <c r="E4" s="289" t="s">
        <v>319</v>
      </c>
      <c r="F4" s="289" t="s">
        <v>319</v>
      </c>
      <c r="G4" s="290" t="s">
        <v>320</v>
      </c>
    </row>
    <row r="5" spans="2:7" ht="15.75" thickBot="1">
      <c r="B5" s="291"/>
      <c r="C5" s="292"/>
      <c r="D5" s="293"/>
      <c r="E5" s="294" t="s">
        <v>321</v>
      </c>
      <c r="F5" s="336" t="s">
        <v>332</v>
      </c>
      <c r="G5" s="295" t="s">
        <v>322</v>
      </c>
    </row>
    <row r="6" spans="2:7" ht="15.75" thickBot="1">
      <c r="B6" s="296"/>
      <c r="C6" s="297"/>
      <c r="D6" s="298"/>
      <c r="E6" s="299"/>
      <c r="F6" s="300" t="s">
        <v>331</v>
      </c>
      <c r="G6" s="295"/>
    </row>
    <row r="7" spans="2:7" ht="15" hidden="1">
      <c r="B7" s="286" t="s">
        <v>323</v>
      </c>
      <c r="C7" s="287" t="s">
        <v>324</v>
      </c>
      <c r="D7" s="301" t="s">
        <v>325</v>
      </c>
      <c r="E7" s="302">
        <v>1510000</v>
      </c>
      <c r="F7" s="303"/>
      <c r="G7" s="304"/>
    </row>
    <row r="8" spans="2:7" ht="15.75" hidden="1" thickBot="1">
      <c r="B8" s="305"/>
      <c r="C8" s="306"/>
      <c r="D8" s="307"/>
      <c r="E8" s="308"/>
      <c r="F8" s="309"/>
      <c r="G8" s="310">
        <v>0</v>
      </c>
    </row>
    <row r="9" spans="2:7" ht="15.75" thickBot="1">
      <c r="B9" s="311"/>
      <c r="C9" s="311"/>
      <c r="D9" s="312"/>
      <c r="E9" s="313"/>
      <c r="F9" s="314"/>
      <c r="G9" s="315"/>
    </row>
    <row r="10" spans="2:7" ht="15.75" thickBot="1">
      <c r="B10" s="286" t="s">
        <v>323</v>
      </c>
      <c r="C10" s="287" t="s">
        <v>326</v>
      </c>
      <c r="D10" s="301" t="s">
        <v>327</v>
      </c>
      <c r="E10" s="316">
        <v>2000000</v>
      </c>
      <c r="F10" s="317">
        <v>0</v>
      </c>
      <c r="G10" s="318">
        <v>0</v>
      </c>
    </row>
    <row r="11" spans="2:7" ht="15.75" thickBot="1">
      <c r="B11" s="305"/>
      <c r="C11" s="306"/>
      <c r="D11" s="297"/>
      <c r="E11" s="320"/>
      <c r="F11" s="321"/>
      <c r="G11" s="322"/>
    </row>
    <row r="12" spans="2:7" ht="15.75" thickBot="1">
      <c r="B12" s="286" t="s">
        <v>323</v>
      </c>
      <c r="C12" s="287" t="s">
        <v>328</v>
      </c>
      <c r="D12" s="301" t="s">
        <v>327</v>
      </c>
      <c r="E12" s="316">
        <v>8500000</v>
      </c>
      <c r="F12" s="319">
        <v>10039083.79</v>
      </c>
      <c r="G12" s="323">
        <v>1700000</v>
      </c>
    </row>
    <row r="13" spans="2:7" ht="15.75" thickBot="1">
      <c r="B13" s="305"/>
      <c r="C13" s="306"/>
      <c r="D13" s="297"/>
      <c r="E13" s="324"/>
      <c r="F13" s="321"/>
      <c r="G13" s="325"/>
    </row>
    <row r="14" spans="2:6" ht="15.75" thickBot="1">
      <c r="B14" s="327" t="s">
        <v>323</v>
      </c>
      <c r="C14" s="327" t="s">
        <v>329</v>
      </c>
      <c r="D14" s="335" t="s">
        <v>327</v>
      </c>
      <c r="E14" s="328">
        <v>5000000</v>
      </c>
      <c r="F14" s="329">
        <v>4470777.25</v>
      </c>
    </row>
    <row r="15" spans="2:6" ht="15.75" thickBot="1">
      <c r="B15" s="326"/>
      <c r="C15" s="326"/>
      <c r="D15" s="312"/>
      <c r="E15" s="324"/>
      <c r="F15" s="321"/>
    </row>
    <row r="16" spans="2:7" ht="15.75" thickBot="1">
      <c r="B16" s="288" t="s">
        <v>330</v>
      </c>
      <c r="C16" s="327" t="s">
        <v>328</v>
      </c>
      <c r="D16" s="301" t="s">
        <v>327</v>
      </c>
      <c r="E16" s="316">
        <f>650000+1000000</f>
        <v>1650000</v>
      </c>
      <c r="F16" s="329">
        <v>1700405.71</v>
      </c>
      <c r="G16" s="330">
        <v>317287.4</v>
      </c>
    </row>
    <row r="17" spans="2:7" ht="15.75" thickBot="1">
      <c r="B17" s="331"/>
      <c r="C17" s="326"/>
      <c r="D17" s="297"/>
      <c r="E17" s="324"/>
      <c r="F17" s="321"/>
      <c r="G17" s="332"/>
    </row>
    <row r="18" spans="5:6" ht="12.75">
      <c r="E18" s="44"/>
      <c r="F18" s="44"/>
    </row>
    <row r="19" spans="4:6" ht="15.75" thickBot="1">
      <c r="D19" s="333" t="s">
        <v>327</v>
      </c>
      <c r="E19" s="334">
        <f>E10+E12+E14+E16</f>
        <v>17150000</v>
      </c>
      <c r="F19" s="334">
        <f>F10+F12+F14+F16</f>
        <v>16210266.75</v>
      </c>
    </row>
  </sheetData>
  <sheetProtection/>
  <printOptions/>
  <pageMargins left="0.4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6">
      <selection activeCell="D12" sqref="D12"/>
    </sheetView>
  </sheetViews>
  <sheetFormatPr defaultColWidth="9.140625" defaultRowHeight="12.75"/>
  <cols>
    <col min="2" max="2" width="51.28125" style="0" customWidth="1"/>
    <col min="4" max="4" width="16.57421875" style="0" customWidth="1"/>
  </cols>
  <sheetData>
    <row r="1" spans="2:4" ht="15">
      <c r="B1" s="131" t="s">
        <v>149</v>
      </c>
      <c r="C1" s="130"/>
      <c r="D1" s="130"/>
    </row>
    <row r="2" spans="2:4" ht="15">
      <c r="B2" s="131" t="s">
        <v>150</v>
      </c>
      <c r="C2" s="130"/>
      <c r="D2" s="130"/>
    </row>
    <row r="3" spans="2:4" ht="15">
      <c r="B3" s="136"/>
      <c r="C3" s="136"/>
      <c r="D3" s="132">
        <v>2009</v>
      </c>
    </row>
    <row r="4" spans="2:4" ht="15">
      <c r="B4" s="132"/>
      <c r="C4" s="136"/>
      <c r="D4" s="132" t="s">
        <v>151</v>
      </c>
    </row>
    <row r="5" spans="2:4" ht="15">
      <c r="B5" s="136"/>
      <c r="C5" s="136"/>
      <c r="D5" s="132"/>
    </row>
    <row r="6" spans="2:4" ht="15">
      <c r="B6" s="136" t="s">
        <v>34</v>
      </c>
      <c r="C6" s="136"/>
      <c r="D6" s="132"/>
    </row>
    <row r="7" spans="2:4" ht="15">
      <c r="B7" s="136" t="s">
        <v>35</v>
      </c>
      <c r="C7" s="137"/>
      <c r="D7" s="133"/>
    </row>
    <row r="8" spans="2:4" ht="14.25">
      <c r="B8" s="137" t="s">
        <v>112</v>
      </c>
      <c r="C8" s="137">
        <v>4</v>
      </c>
      <c r="D8" s="138">
        <v>27432609</v>
      </c>
    </row>
    <row r="9" spans="2:4" ht="14.25">
      <c r="B9" s="137" t="s">
        <v>152</v>
      </c>
      <c r="C9" s="137">
        <v>5</v>
      </c>
      <c r="D9" s="138">
        <v>2517123</v>
      </c>
    </row>
    <row r="10" spans="2:4" ht="15" thickBot="1">
      <c r="B10" s="137" t="s">
        <v>153</v>
      </c>
      <c r="C10" s="137">
        <v>6</v>
      </c>
      <c r="D10" s="139">
        <v>373969</v>
      </c>
    </row>
    <row r="11" spans="2:4" ht="15" thickBot="1">
      <c r="B11" s="137"/>
      <c r="C11" s="137"/>
      <c r="D11" s="139">
        <v>30323701</v>
      </c>
    </row>
    <row r="12" spans="2:4" ht="14.25">
      <c r="B12" s="137"/>
      <c r="C12" s="137"/>
      <c r="D12" s="133"/>
    </row>
    <row r="13" spans="2:4" ht="15">
      <c r="B13" s="136" t="s">
        <v>154</v>
      </c>
      <c r="C13" s="137"/>
      <c r="D13" s="133"/>
    </row>
    <row r="14" spans="2:4" ht="14.25">
      <c r="B14" s="137" t="s">
        <v>54</v>
      </c>
      <c r="C14" s="137"/>
      <c r="D14" s="138">
        <v>5552350</v>
      </c>
    </row>
    <row r="15" spans="2:4" ht="14.25">
      <c r="B15" s="137" t="s">
        <v>53</v>
      </c>
      <c r="C15" s="137"/>
      <c r="D15" s="138">
        <v>16242532</v>
      </c>
    </row>
    <row r="16" spans="2:4" ht="14.25">
      <c r="B16" s="137" t="s">
        <v>113</v>
      </c>
      <c r="C16" s="137">
        <v>7</v>
      </c>
      <c r="D16" s="138">
        <v>16697047</v>
      </c>
    </row>
    <row r="17" spans="2:4" ht="14.25">
      <c r="B17" s="137" t="s">
        <v>155</v>
      </c>
      <c r="C17" s="137">
        <v>8</v>
      </c>
      <c r="D17" s="138">
        <v>969346</v>
      </c>
    </row>
    <row r="18" spans="2:4" ht="14.25">
      <c r="B18" s="137" t="s">
        <v>156</v>
      </c>
      <c r="C18" s="137"/>
      <c r="D18" s="138">
        <v>641291</v>
      </c>
    </row>
    <row r="19" spans="2:4" ht="14.25">
      <c r="B19" s="137" t="s">
        <v>157</v>
      </c>
      <c r="C19" s="137">
        <v>9</v>
      </c>
      <c r="D19" s="138">
        <v>8538068</v>
      </c>
    </row>
    <row r="20" spans="2:4" ht="14.25">
      <c r="B20" s="137" t="s">
        <v>81</v>
      </c>
      <c r="C20" s="137">
        <v>10</v>
      </c>
      <c r="D20" s="138">
        <v>19711108</v>
      </c>
    </row>
    <row r="21" spans="2:4" ht="15" thickBot="1">
      <c r="B21" s="137" t="s">
        <v>158</v>
      </c>
      <c r="C21" s="137"/>
      <c r="D21" s="139">
        <v>3199333</v>
      </c>
    </row>
    <row r="22" spans="2:4" ht="15" thickBot="1">
      <c r="B22" s="137"/>
      <c r="C22" s="137"/>
      <c r="D22" s="139">
        <v>71551075</v>
      </c>
    </row>
    <row r="23" spans="2:4" ht="14.25">
      <c r="B23" s="137"/>
      <c r="C23" s="137"/>
      <c r="D23" s="133"/>
    </row>
    <row r="24" spans="2:4" ht="15.75" thickBot="1">
      <c r="B24" s="136" t="s">
        <v>159</v>
      </c>
      <c r="C24" s="137"/>
      <c r="D24" s="140">
        <v>101874776</v>
      </c>
    </row>
    <row r="25" spans="2:4" ht="15" thickTop="1">
      <c r="B25" s="137"/>
      <c r="C25" s="137"/>
      <c r="D25" s="133"/>
    </row>
    <row r="26" spans="2:4" ht="15">
      <c r="B26" s="136" t="s">
        <v>37</v>
      </c>
      <c r="C26" s="137"/>
      <c r="D26" s="133"/>
    </row>
    <row r="27" spans="2:4" ht="30">
      <c r="B27" s="136" t="s">
        <v>160</v>
      </c>
      <c r="C27" s="137"/>
      <c r="D27" s="133"/>
    </row>
    <row r="28" spans="2:4" ht="14.25">
      <c r="B28" s="137" t="s">
        <v>57</v>
      </c>
      <c r="C28" s="137">
        <v>11</v>
      </c>
      <c r="D28" s="138">
        <v>45000000</v>
      </c>
    </row>
    <row r="29" spans="2:4" ht="15" thickBot="1">
      <c r="B29" s="137" t="s">
        <v>114</v>
      </c>
      <c r="C29" s="137">
        <v>12</v>
      </c>
      <c r="D29" s="139">
        <v>11565078</v>
      </c>
    </row>
    <row r="30" spans="2:4" ht="15.75" thickBot="1">
      <c r="B30" s="136" t="s">
        <v>62</v>
      </c>
      <c r="C30" s="137"/>
      <c r="D30" s="139">
        <v>56565078</v>
      </c>
    </row>
    <row r="31" spans="2:4" ht="14.25">
      <c r="B31" s="137"/>
      <c r="C31" s="137"/>
      <c r="D31" s="133"/>
    </row>
    <row r="32" spans="2:4" ht="15">
      <c r="B32" s="136" t="s">
        <v>38</v>
      </c>
      <c r="C32" s="137"/>
      <c r="D32" s="133"/>
    </row>
    <row r="33" spans="2:4" ht="14.25">
      <c r="B33" s="137" t="s">
        <v>58</v>
      </c>
      <c r="C33" s="137">
        <v>13</v>
      </c>
      <c r="D33" s="138">
        <v>345789</v>
      </c>
    </row>
    <row r="34" spans="2:4" ht="14.25">
      <c r="B34" s="137" t="s">
        <v>161</v>
      </c>
      <c r="C34" s="137">
        <v>14</v>
      </c>
      <c r="D34" s="138">
        <v>16586846</v>
      </c>
    </row>
    <row r="35" spans="2:4" ht="15" thickBot="1">
      <c r="B35" s="137" t="s">
        <v>116</v>
      </c>
      <c r="C35" s="137">
        <v>15</v>
      </c>
      <c r="D35" s="139">
        <v>1143700</v>
      </c>
    </row>
    <row r="36" spans="2:4" ht="15" thickBot="1">
      <c r="B36" s="137"/>
      <c r="C36" s="137"/>
      <c r="D36" s="139">
        <v>18076335</v>
      </c>
    </row>
    <row r="37" spans="2:4" ht="14.25">
      <c r="B37" s="137"/>
      <c r="C37" s="137"/>
      <c r="D37" s="133"/>
    </row>
    <row r="38" spans="2:4" ht="15">
      <c r="B38" s="136" t="s">
        <v>162</v>
      </c>
      <c r="C38" s="137"/>
      <c r="D38" s="133"/>
    </row>
    <row r="39" spans="2:4" ht="14.25">
      <c r="B39" s="137" t="s">
        <v>163</v>
      </c>
      <c r="C39" s="137">
        <v>16</v>
      </c>
      <c r="D39" s="138">
        <v>8748757</v>
      </c>
    </row>
    <row r="40" spans="2:4" ht="14.25">
      <c r="B40" s="137" t="s">
        <v>117</v>
      </c>
      <c r="C40" s="137"/>
      <c r="D40" s="138">
        <v>2966428</v>
      </c>
    </row>
    <row r="41" spans="2:4" ht="14.25">
      <c r="B41" s="137" t="s">
        <v>58</v>
      </c>
      <c r="C41" s="137">
        <v>13</v>
      </c>
      <c r="D41" s="138">
        <v>127863</v>
      </c>
    </row>
    <row r="42" spans="2:4" ht="14.25">
      <c r="B42" s="137" t="s">
        <v>161</v>
      </c>
      <c r="C42" s="137">
        <v>14</v>
      </c>
      <c r="D42" s="138">
        <v>14173873</v>
      </c>
    </row>
    <row r="43" spans="2:4" ht="15" thickBot="1">
      <c r="B43" s="137" t="s">
        <v>164</v>
      </c>
      <c r="C43" s="137"/>
      <c r="D43" s="139">
        <v>1216442</v>
      </c>
    </row>
    <row r="44" spans="2:4" ht="15" thickBot="1">
      <c r="B44" s="137"/>
      <c r="C44" s="137"/>
      <c r="D44" s="139">
        <v>27233363</v>
      </c>
    </row>
    <row r="45" spans="2:4" ht="14.25">
      <c r="B45" s="137"/>
      <c r="C45" s="137"/>
      <c r="D45" s="133"/>
    </row>
    <row r="46" spans="2:4" ht="15.75" thickBot="1">
      <c r="B46" s="136" t="s">
        <v>165</v>
      </c>
      <c r="C46" s="137"/>
      <c r="D46" s="139">
        <v>45309698</v>
      </c>
    </row>
    <row r="47" spans="2:4" ht="15.75" thickBot="1">
      <c r="B47" s="136" t="s">
        <v>166</v>
      </c>
      <c r="C47" s="137"/>
      <c r="D47" s="140">
        <v>101874776</v>
      </c>
    </row>
    <row r="48" spans="2:4" ht="13.5" thickTop="1">
      <c r="B48" s="134"/>
      <c r="C48" s="134"/>
      <c r="D48" s="141"/>
    </row>
    <row r="49" ht="14.25">
      <c r="B49" s="1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L52" sqref="L52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hidden="1" customWidth="1"/>
    <col min="4" max="4" width="4.421875" style="0" customWidth="1"/>
    <col min="5" max="5" width="25.140625" style="0" bestFit="1" customWidth="1"/>
    <col min="6" max="6" width="4.421875" style="0" customWidth="1"/>
    <col min="7" max="7" width="21.8515625" style="0" customWidth="1"/>
    <col min="8" max="8" width="4.421875" style="0" customWidth="1"/>
  </cols>
  <sheetData>
    <row r="1" spans="2:9" ht="20.25">
      <c r="B1" s="438" t="str">
        <f>+'Income statement'!B1</f>
        <v>HANDAL RESOURCES  BERHAD (816839-X)</v>
      </c>
      <c r="C1" s="438"/>
      <c r="D1" s="438"/>
      <c r="E1" s="438"/>
      <c r="F1" s="438"/>
      <c r="G1" s="438"/>
      <c r="H1" s="438"/>
      <c r="I1" s="438"/>
    </row>
    <row r="2" spans="2:9" ht="18">
      <c r="B2" s="3"/>
      <c r="C2" s="3"/>
      <c r="D2" s="3"/>
      <c r="E2" s="3"/>
      <c r="F2" s="3"/>
      <c r="G2" s="3"/>
      <c r="H2" s="3"/>
      <c r="I2" s="3"/>
    </row>
    <row r="3" spans="2:9" s="69" customFormat="1" ht="15.75">
      <c r="B3" s="67" t="s">
        <v>210</v>
      </c>
      <c r="C3" s="68"/>
      <c r="D3" s="68"/>
      <c r="E3" s="68"/>
      <c r="F3" s="68"/>
      <c r="G3" s="68"/>
      <c r="H3" s="68"/>
      <c r="I3" s="68"/>
    </row>
    <row r="4" s="69" customFormat="1" ht="15.75">
      <c r="B4" s="67" t="s">
        <v>285</v>
      </c>
    </row>
    <row r="5" s="69" customFormat="1" ht="15"/>
    <row r="6" spans="3:8" s="69" customFormat="1" ht="15.75">
      <c r="C6" s="70" t="s">
        <v>78</v>
      </c>
      <c r="D6" s="70"/>
      <c r="E6" s="70" t="s">
        <v>78</v>
      </c>
      <c r="F6" s="70"/>
      <c r="G6" s="70" t="s">
        <v>119</v>
      </c>
      <c r="H6" s="70"/>
    </row>
    <row r="7" spans="3:8" s="69" customFormat="1" ht="15.75">
      <c r="C7" s="70" t="s">
        <v>79</v>
      </c>
      <c r="D7" s="70"/>
      <c r="E7" s="70" t="s">
        <v>79</v>
      </c>
      <c r="F7" s="70"/>
      <c r="G7" s="70" t="s">
        <v>79</v>
      </c>
      <c r="H7" s="70"/>
    </row>
    <row r="8" spans="3:8" s="69" customFormat="1" ht="15.75">
      <c r="C8" s="70" t="e">
        <f>+'Income statement'!#REF!</f>
        <v>#REF!</v>
      </c>
      <c r="D8" s="70"/>
      <c r="E8" s="71" t="s">
        <v>286</v>
      </c>
      <c r="F8" s="70"/>
      <c r="G8" s="71" t="s">
        <v>268</v>
      </c>
      <c r="H8" s="70"/>
    </row>
    <row r="9" spans="3:8" s="69" customFormat="1" ht="15.75">
      <c r="C9" s="68" t="s">
        <v>3</v>
      </c>
      <c r="D9" s="68"/>
      <c r="E9" s="68" t="s">
        <v>3</v>
      </c>
      <c r="F9" s="68"/>
      <c r="G9" s="68" t="s">
        <v>3</v>
      </c>
      <c r="H9" s="68"/>
    </row>
    <row r="10" spans="3:8" s="69" customFormat="1" ht="15.75">
      <c r="C10" s="68"/>
      <c r="D10" s="68"/>
      <c r="E10" s="68"/>
      <c r="F10" s="68"/>
      <c r="G10" s="68"/>
      <c r="H10" s="68"/>
    </row>
    <row r="11" spans="2:8" s="69" customFormat="1" ht="15.75">
      <c r="B11" s="67" t="s">
        <v>34</v>
      </c>
      <c r="C11" s="68"/>
      <c r="D11" s="68"/>
      <c r="E11" s="68"/>
      <c r="F11" s="68"/>
      <c r="G11" s="68"/>
      <c r="H11" s="68"/>
    </row>
    <row r="12" spans="2:8" s="69" customFormat="1" ht="16.5" customHeight="1">
      <c r="B12" s="67" t="s">
        <v>35</v>
      </c>
      <c r="C12" s="102"/>
      <c r="D12" s="68"/>
      <c r="E12" s="68"/>
      <c r="F12" s="233"/>
      <c r="G12" s="68"/>
      <c r="H12" s="68"/>
    </row>
    <row r="13" spans="2:9" s="69" customFormat="1" ht="16.5" customHeight="1">
      <c r="B13" s="239" t="s">
        <v>112</v>
      </c>
      <c r="C13" s="235">
        <f>'[3]1conso-YTD'!$N$65</f>
        <v>27678.76659</v>
      </c>
      <c r="D13" s="238"/>
      <c r="E13" s="235">
        <f>'[10]1conso-YTD (2)'!$U$70</f>
        <v>65730.37256</v>
      </c>
      <c r="F13" s="243"/>
      <c r="G13" s="235">
        <f>'[8]1conso-YTD (2)'!$U$71/1000</f>
        <v>64670.341</v>
      </c>
      <c r="H13" s="225"/>
      <c r="I13" s="74"/>
    </row>
    <row r="14" spans="2:9" s="69" customFormat="1" ht="16.5" customHeight="1">
      <c r="B14" s="72" t="s">
        <v>236</v>
      </c>
      <c r="C14" s="103"/>
      <c r="D14" s="73"/>
      <c r="E14" s="103">
        <f>'[10]1conso-YTD (2)'!$U$72</f>
        <v>11958.567</v>
      </c>
      <c r="F14" s="225"/>
      <c r="G14" s="103">
        <f>'[8]1conso-YTD (2)'!$U$73/1000</f>
        <v>11958.567</v>
      </c>
      <c r="H14" s="225"/>
      <c r="I14" s="74"/>
    </row>
    <row r="15" spans="2:9" s="69" customFormat="1" ht="16.5" customHeight="1" hidden="1">
      <c r="B15" s="72" t="s">
        <v>252</v>
      </c>
      <c r="C15" s="103"/>
      <c r="D15" s="73"/>
      <c r="E15" s="256">
        <f>'[10]1conso-YTD (2)'!$U$75</f>
        <v>0</v>
      </c>
      <c r="F15" s="271"/>
      <c r="G15" s="256">
        <f>'[8]1conso-YTD (2)'!$U$76/1000</f>
        <v>0</v>
      </c>
      <c r="H15" s="225"/>
      <c r="I15" s="74"/>
    </row>
    <row r="16" spans="2:9" s="69" customFormat="1" ht="16.5" customHeight="1" hidden="1">
      <c r="B16" s="72" t="s">
        <v>246</v>
      </c>
      <c r="C16" s="103"/>
      <c r="D16" s="73"/>
      <c r="E16" s="256">
        <f>'[10]1conso-YTD (2)'!$U$77</f>
        <v>0</v>
      </c>
      <c r="F16" s="271"/>
      <c r="G16" s="256">
        <f>'[8]1conso-YTD (2)'!$U$78/1000</f>
        <v>0</v>
      </c>
      <c r="H16" s="225"/>
      <c r="I16" s="74"/>
    </row>
    <row r="17" spans="2:9" s="69" customFormat="1" ht="16.5" customHeight="1" thickBot="1">
      <c r="B17" s="72" t="s">
        <v>145</v>
      </c>
      <c r="C17" s="104">
        <f>'[3]1conso-YTD'!$N$71</f>
        <v>373.97199</v>
      </c>
      <c r="D17" s="73"/>
      <c r="E17" s="104">
        <f>'[10]1conso-YTD (2)'!$U$78</f>
        <v>75.303</v>
      </c>
      <c r="F17" s="225"/>
      <c r="G17" s="104">
        <f>'[8]1conso-YTD (2)'!$U$79/1000</f>
        <v>75.303</v>
      </c>
      <c r="H17" s="225"/>
      <c r="I17" s="75"/>
    </row>
    <row r="18" spans="2:9" s="69" customFormat="1" ht="16.5" thickBot="1">
      <c r="B18" s="76"/>
      <c r="C18" s="104">
        <f>SUM(C13:C17)</f>
        <v>28052.738579999997</v>
      </c>
      <c r="D18" s="73"/>
      <c r="E18" s="110">
        <f>SUM(E13:E17)</f>
        <v>77764.24256</v>
      </c>
      <c r="F18" s="225"/>
      <c r="G18" s="110">
        <f>SUM(G13:G17)</f>
        <v>76704.211</v>
      </c>
      <c r="H18" s="225"/>
      <c r="I18" s="75"/>
    </row>
    <row r="19" spans="2:9" s="69" customFormat="1" ht="15">
      <c r="B19" s="72"/>
      <c r="C19" s="105"/>
      <c r="D19" s="77"/>
      <c r="E19" s="204"/>
      <c r="F19" s="226"/>
      <c r="G19" s="105"/>
      <c r="H19" s="226"/>
      <c r="I19" s="75"/>
    </row>
    <row r="20" spans="2:9" s="69" customFormat="1" ht="15">
      <c r="B20" s="72"/>
      <c r="C20" s="105"/>
      <c r="D20" s="77"/>
      <c r="E20" s="204"/>
      <c r="F20" s="226"/>
      <c r="G20" s="204"/>
      <c r="H20" s="226"/>
      <c r="I20" s="75"/>
    </row>
    <row r="21" spans="2:9" s="69" customFormat="1" ht="15.75">
      <c r="B21" s="76" t="s">
        <v>4</v>
      </c>
      <c r="C21" s="105"/>
      <c r="D21" s="77"/>
      <c r="E21" s="105"/>
      <c r="F21" s="226"/>
      <c r="G21" s="105"/>
      <c r="H21" s="226"/>
      <c r="I21" s="75"/>
    </row>
    <row r="22" spans="2:9" s="69" customFormat="1" ht="15">
      <c r="B22" s="75" t="s">
        <v>54</v>
      </c>
      <c r="C22" s="103">
        <f>'[3]1conso-YTD'!$N$75</f>
        <v>5239.74082</v>
      </c>
      <c r="D22" s="73"/>
      <c r="E22" s="103">
        <f>'[10]1conso-YTD (2)'!$U$83</f>
        <v>12832.501660000002</v>
      </c>
      <c r="F22" s="225"/>
      <c r="G22" s="103">
        <f>'[8]1conso-YTD (2)'!$U$84/1000</f>
        <v>9536.102</v>
      </c>
      <c r="H22" s="225"/>
      <c r="I22" s="75"/>
    </row>
    <row r="23" spans="2:9" s="69" customFormat="1" ht="15">
      <c r="B23" s="75" t="s">
        <v>53</v>
      </c>
      <c r="C23" s="103">
        <f>'[3]1conso-YTD'!$N$77</f>
        <v>17984.309699999994</v>
      </c>
      <c r="D23" s="73"/>
      <c r="E23" s="103">
        <f>'[10]1conso-YTD (2)'!$U$84</f>
        <v>13786.42493</v>
      </c>
      <c r="F23" s="225"/>
      <c r="G23" s="103">
        <f>'[8]1conso-YTD (2)'!$U$85/1000</f>
        <v>8100.335</v>
      </c>
      <c r="H23" s="225"/>
      <c r="I23" s="75"/>
    </row>
    <row r="24" spans="2:9" s="69" customFormat="1" ht="15">
      <c r="B24" s="75" t="s">
        <v>266</v>
      </c>
      <c r="C24" s="103">
        <f>'[3]1conso-YTD'!$N$78</f>
        <v>18688.837959999997</v>
      </c>
      <c r="D24" s="73"/>
      <c r="E24" s="103">
        <f>'[10]1conso-YTD (2)'!$U$91</f>
        <v>40650.170739999994</v>
      </c>
      <c r="F24" s="225"/>
      <c r="G24" s="103">
        <f>'[8]1conso-YTD (2)'!$U$92/1000</f>
        <v>51204.315</v>
      </c>
      <c r="H24" s="225"/>
      <c r="I24" s="75"/>
    </row>
    <row r="25" spans="2:9" s="69" customFormat="1" ht="15">
      <c r="B25" s="75" t="s">
        <v>237</v>
      </c>
      <c r="C25" s="103">
        <f>'[3]1conso-YTD'!$N$76</f>
        <v>199</v>
      </c>
      <c r="D25" s="73"/>
      <c r="E25" s="256">
        <f>'[10]1conso-YTD (2)'!$U$87</f>
        <v>5651.29533</v>
      </c>
      <c r="F25" s="225"/>
      <c r="G25" s="256">
        <f>'[8]1conso-YTD (2)'!$U$88/1000</f>
        <v>4198.298</v>
      </c>
      <c r="H25" s="225"/>
      <c r="I25" s="75"/>
    </row>
    <row r="26" spans="2:9" s="69" customFormat="1" ht="15">
      <c r="B26" s="75" t="s">
        <v>55</v>
      </c>
      <c r="C26" s="103">
        <f>'[3]1conso-YTD'!$N$80+'[3]1conso-YTD'!$N$81+750</f>
        <v>1382.37885</v>
      </c>
      <c r="D26" s="73"/>
      <c r="E26" s="103">
        <f>'[10]1conso-YTD (2)'!$U$88+'[10]1conso-YTD (2)'!$U$93+'[10]1conso-YTD (2)'!$U$94</f>
        <v>649.84168</v>
      </c>
      <c r="F26" s="225"/>
      <c r="G26" s="103">
        <f>('[8]1conso-YTD (2)'!$U$89+'[8]1conso-YTD (2)'!$U$94+'[8]1conso-YTD (2)'!$U$95+'[8]1conso-YTD (2)'!$U$96)/1000</f>
        <v>879.113</v>
      </c>
      <c r="H26" s="225"/>
      <c r="I26" s="75"/>
    </row>
    <row r="27" spans="2:9" s="69" customFormat="1" ht="15">
      <c r="B27" s="75" t="s">
        <v>238</v>
      </c>
      <c r="C27" s="103"/>
      <c r="D27" s="73"/>
      <c r="E27" s="257">
        <f>'[10]1conso-YTD (2)'!$U$113</f>
        <v>3773.81482</v>
      </c>
      <c r="F27" s="225"/>
      <c r="G27" s="257">
        <f>'[8]1conso-YTD (2)'!$U$114/1000</f>
        <v>47.339</v>
      </c>
      <c r="H27" s="225"/>
      <c r="I27" s="75"/>
    </row>
    <row r="28" spans="2:9" s="69" customFormat="1" ht="15">
      <c r="B28" s="75" t="s">
        <v>157</v>
      </c>
      <c r="C28" s="103">
        <f>'[3]1conso-YTD'!$N$82</f>
        <v>29349.86621</v>
      </c>
      <c r="D28" s="73"/>
      <c r="E28" s="103">
        <f>'[10]1conso-YTD (2)'!$U$110</f>
        <v>31.811709999999998</v>
      </c>
      <c r="F28" s="225"/>
      <c r="G28" s="103">
        <f>'[8]1conso-YTD (2)'!$U$111/1000</f>
        <v>31.087</v>
      </c>
      <c r="H28" s="225"/>
      <c r="I28" s="75"/>
    </row>
    <row r="29" spans="2:9" s="69" customFormat="1" ht="15">
      <c r="B29" s="75" t="s">
        <v>239</v>
      </c>
      <c r="C29" s="103"/>
      <c r="D29" s="73"/>
      <c r="E29" s="103">
        <f>'[10]1conso-YTD (2)'!$U$111</f>
        <v>12031.70507</v>
      </c>
      <c r="F29" s="225"/>
      <c r="G29" s="103">
        <f>'[8]1conso-YTD (2)'!$U$112/1000</f>
        <v>11754.235</v>
      </c>
      <c r="H29" s="225"/>
      <c r="I29" s="75"/>
    </row>
    <row r="30" spans="2:9" s="69" customFormat="1" ht="15.75" thickBot="1">
      <c r="B30" s="75" t="s">
        <v>142</v>
      </c>
      <c r="C30" s="111">
        <f>'[3]1conso-YTD'!$N$83</f>
        <v>3943.64952</v>
      </c>
      <c r="D30" s="73"/>
      <c r="E30" s="103">
        <f>'[10]1conso-YTD (2)'!$U$112</f>
        <v>3001.6157000000007</v>
      </c>
      <c r="F30" s="225"/>
      <c r="G30" s="103">
        <f>'[8]1conso-YTD (2)'!$U$113/1000</f>
        <v>7981.307</v>
      </c>
      <c r="H30" s="225"/>
      <c r="I30" s="75"/>
    </row>
    <row r="31" spans="2:9" s="69" customFormat="1" ht="15.75" thickBot="1">
      <c r="B31" s="72" t="s">
        <v>251</v>
      </c>
      <c r="C31" s="105"/>
      <c r="D31" s="77"/>
      <c r="E31" s="258">
        <f>'[10]1conso-YTD (2)'!$U$109</f>
        <v>217.59088</v>
      </c>
      <c r="F31" s="226"/>
      <c r="G31" s="258">
        <f>'[8]1conso-YTD (2)'!$U$110/1000+2</f>
        <v>39.943</v>
      </c>
      <c r="H31" s="226"/>
      <c r="I31" s="75"/>
    </row>
    <row r="32" spans="2:9" s="69" customFormat="1" ht="15.75" thickBot="1">
      <c r="B32" s="72"/>
      <c r="C32" s="104">
        <f>SUM(C22:C30)+0.5</f>
        <v>76788.28306</v>
      </c>
      <c r="D32" s="77"/>
      <c r="E32" s="110">
        <f>SUM(E22:E31)+1</f>
        <v>92627.77251999997</v>
      </c>
      <c r="F32" s="226"/>
      <c r="G32" s="110">
        <f>SUM(G22:G31)-2</f>
        <v>93770.07400000001</v>
      </c>
      <c r="H32" s="226"/>
      <c r="I32" s="75"/>
    </row>
    <row r="33" spans="2:9" s="69" customFormat="1" ht="15">
      <c r="B33" s="72"/>
      <c r="C33" s="105"/>
      <c r="D33" s="77"/>
      <c r="E33" s="105"/>
      <c r="F33" s="226"/>
      <c r="G33" s="105"/>
      <c r="H33" s="226"/>
      <c r="I33" s="75"/>
    </row>
    <row r="34" spans="2:9" s="69" customFormat="1" ht="16.5" thickBot="1">
      <c r="B34" s="76" t="s">
        <v>36</v>
      </c>
      <c r="C34" s="106">
        <f>+C32+C18</f>
        <v>104841.02163999999</v>
      </c>
      <c r="D34" s="77"/>
      <c r="E34" s="106">
        <f>+E32+E18</f>
        <v>170392.01507999998</v>
      </c>
      <c r="F34" s="226"/>
      <c r="G34" s="106">
        <f>+G32+G18</f>
        <v>170474.285</v>
      </c>
      <c r="H34" s="226"/>
      <c r="I34" s="75"/>
    </row>
    <row r="35" spans="2:9" s="69" customFormat="1" ht="15.75" thickTop="1">
      <c r="B35" s="72"/>
      <c r="C35" s="105"/>
      <c r="D35" s="77"/>
      <c r="E35" s="204"/>
      <c r="F35" s="226"/>
      <c r="G35" s="105"/>
      <c r="H35" s="226"/>
      <c r="I35" s="75"/>
    </row>
    <row r="36" spans="2:9" s="69" customFormat="1" ht="15.75">
      <c r="B36" s="76" t="s">
        <v>37</v>
      </c>
      <c r="C36" s="105"/>
      <c r="D36" s="77"/>
      <c r="E36" s="204"/>
      <c r="F36" s="226"/>
      <c r="G36" s="204"/>
      <c r="H36" s="226"/>
      <c r="I36" s="75"/>
    </row>
    <row r="37" spans="2:9" s="69" customFormat="1" ht="15.75">
      <c r="B37" s="76" t="s">
        <v>56</v>
      </c>
      <c r="C37" s="105"/>
      <c r="D37" s="77"/>
      <c r="E37" s="204"/>
      <c r="F37" s="226"/>
      <c r="G37" s="105"/>
      <c r="H37" s="226"/>
      <c r="I37" s="75"/>
    </row>
    <row r="38" spans="2:9" s="69" customFormat="1" ht="15">
      <c r="B38" s="75" t="s">
        <v>57</v>
      </c>
      <c r="C38" s="103">
        <f>'[3]1conso-YTD'!$N$95</f>
        <v>45000</v>
      </c>
      <c r="D38" s="73"/>
      <c r="E38" s="103">
        <f>'[10]1conso-YTD (2)'!$U$123</f>
        <v>79999.99999999999</v>
      </c>
      <c r="F38" s="225"/>
      <c r="G38" s="103">
        <f>'[8]1conso-YTD (2)'!$U$123/1000</f>
        <v>80000</v>
      </c>
      <c r="H38" s="225"/>
      <c r="I38" s="75"/>
    </row>
    <row r="39" spans="2:9" s="69" customFormat="1" ht="15" hidden="1">
      <c r="B39" s="75" t="s">
        <v>242</v>
      </c>
      <c r="C39" s="103"/>
      <c r="D39" s="73"/>
      <c r="E39" s="259">
        <f>'[10]1conso-YTD (2)'!$U$124</f>
        <v>0</v>
      </c>
      <c r="F39" s="225"/>
      <c r="G39" s="259">
        <f>'[8]1conso-YTD (2)'!$U$124/1000</f>
        <v>0</v>
      </c>
      <c r="H39" s="225"/>
      <c r="I39" s="75"/>
    </row>
    <row r="40" spans="2:9" s="69" customFormat="1" ht="15">
      <c r="B40" s="75" t="s">
        <v>10</v>
      </c>
      <c r="C40" s="103"/>
      <c r="D40" s="73"/>
      <c r="E40" s="103">
        <f>'[10]1conso-YTD (2)'!$U$126</f>
        <v>28.99172</v>
      </c>
      <c r="F40" s="225"/>
      <c r="G40" s="103">
        <f>'[8]1conso-YTD (2)'!$U$126/1000</f>
        <v>28.992</v>
      </c>
      <c r="H40" s="225"/>
      <c r="I40" s="75"/>
    </row>
    <row r="41" spans="2:9" s="69" customFormat="1" ht="15.75" thickBot="1">
      <c r="B41" s="236" t="s">
        <v>114</v>
      </c>
      <c r="C41" s="237">
        <f>'[3]1conso-YTD'!$N$98+750</f>
        <v>12847.421649</v>
      </c>
      <c r="D41" s="238"/>
      <c r="E41" s="237">
        <f>'[10]1conso-YTD (2)'!$U$127+'[10]1conso-YTD (2)'!$U$128</f>
        <v>29990.792682735988</v>
      </c>
      <c r="F41" s="243"/>
      <c r="G41" s="237">
        <f>('[8]1conso-YTD (2)'!$U$127+'[8]1conso-YTD (2)'!$U$128)/1000</f>
        <v>26883.835</v>
      </c>
      <c r="H41" s="225"/>
      <c r="I41" s="75"/>
    </row>
    <row r="42" spans="2:9" s="69" customFormat="1" ht="15">
      <c r="B42" s="75" t="s">
        <v>147</v>
      </c>
      <c r="C42" s="128">
        <f>SUM(C38:C41)</f>
        <v>57847.421648999996</v>
      </c>
      <c r="D42" s="77"/>
      <c r="E42" s="260">
        <f>SUM(E38:E41)</f>
        <v>110019.78440273598</v>
      </c>
      <c r="F42" s="226"/>
      <c r="G42" s="260">
        <f>SUM(G38:G41)</f>
        <v>106912.82699999999</v>
      </c>
      <c r="H42" s="226"/>
      <c r="I42" s="75"/>
    </row>
    <row r="43" spans="2:9" s="69" customFormat="1" ht="15">
      <c r="B43" s="75" t="s">
        <v>148</v>
      </c>
      <c r="C43" s="103">
        <f>'[3]1conso-YTD'!$N$101</f>
        <v>-2.369579</v>
      </c>
      <c r="D43" s="73"/>
      <c r="E43" s="235">
        <f>'[10]1conso-YTD (2)'!$U$130</f>
        <v>-94.02923273600001</v>
      </c>
      <c r="F43" s="225"/>
      <c r="G43" s="235">
        <f>'[8]1conso-YTD (2)'!$U$130/1000</f>
        <v>-63.38</v>
      </c>
      <c r="H43" s="225"/>
      <c r="I43" s="75"/>
    </row>
    <row r="44" spans="2:9" s="69" customFormat="1" ht="15.75" thickBot="1">
      <c r="B44" s="75" t="s">
        <v>120</v>
      </c>
      <c r="C44" s="129">
        <f>SUM(C42:C43)</f>
        <v>57845.05207</v>
      </c>
      <c r="D44" s="77"/>
      <c r="E44" s="261">
        <f>SUM(E42:E43)</f>
        <v>109925.75516999999</v>
      </c>
      <c r="F44" s="226"/>
      <c r="G44" s="261">
        <f>SUM(G42:G43)+1</f>
        <v>106850.44699999999</v>
      </c>
      <c r="H44" s="226"/>
      <c r="I44" s="75"/>
    </row>
    <row r="45" spans="2:9" s="69" customFormat="1" ht="15.75">
      <c r="B45" s="78"/>
      <c r="C45" s="103"/>
      <c r="D45" s="77"/>
      <c r="E45" s="105"/>
      <c r="F45" s="226"/>
      <c r="G45" s="204"/>
      <c r="H45" s="226"/>
      <c r="I45" s="75"/>
    </row>
    <row r="46" spans="2:9" s="69" customFormat="1" ht="15.75">
      <c r="B46" s="78" t="s">
        <v>38</v>
      </c>
      <c r="C46" s="103"/>
      <c r="D46" s="77"/>
      <c r="E46" s="204"/>
      <c r="F46" s="226"/>
      <c r="G46" s="105"/>
      <c r="H46" s="226"/>
      <c r="I46" s="75"/>
    </row>
    <row r="47" spans="2:9" s="69" customFormat="1" ht="15" hidden="1">
      <c r="B47" s="75" t="s">
        <v>58</v>
      </c>
      <c r="C47" s="103">
        <f>'[3]1conso-YTD'!$N$106</f>
        <v>128</v>
      </c>
      <c r="D47" s="73"/>
      <c r="E47" s="103">
        <f>'[10]1conso-YTD (2)'!$U$135</f>
        <v>0</v>
      </c>
      <c r="F47" s="225"/>
      <c r="G47" s="256">
        <f>'[8]1conso-YTD (2)'!$U$135/1000</f>
        <v>0</v>
      </c>
      <c r="H47" s="225"/>
      <c r="I47" s="75"/>
    </row>
    <row r="48" spans="2:9" s="69" customFormat="1" ht="15">
      <c r="B48" s="75" t="s">
        <v>115</v>
      </c>
      <c r="C48" s="103">
        <f>'[3]1conso-YTD'!$N$107-5000</f>
        <v>16845.727010000002</v>
      </c>
      <c r="D48" s="73"/>
      <c r="E48" s="103">
        <f>'[10]1conso-YTD (2)'!$U$136</f>
        <v>10127.43032</v>
      </c>
      <c r="F48" s="225"/>
      <c r="G48" s="103">
        <f>'[8]1conso-YTD (2)'!$U$136/1000</f>
        <v>9283.949</v>
      </c>
      <c r="H48" s="225"/>
      <c r="I48" s="75"/>
    </row>
    <row r="49" spans="2:9" s="69" customFormat="1" ht="15.75" thickBot="1">
      <c r="B49" s="75" t="s">
        <v>116</v>
      </c>
      <c r="C49" s="104">
        <f>'[3]1conso-YTD'!$N$108</f>
        <v>1143.5</v>
      </c>
      <c r="D49" s="73"/>
      <c r="E49" s="104">
        <f>'[10]1conso-YTD (2)'!$U$137</f>
        <v>3933.866</v>
      </c>
      <c r="F49" s="225"/>
      <c r="G49" s="104">
        <f>'[8]1conso-YTD (2)'!$U$137/1000</f>
        <v>3370.366</v>
      </c>
      <c r="H49" s="225"/>
      <c r="I49" s="75"/>
    </row>
    <row r="50" spans="2:9" s="69" customFormat="1" ht="16.5" thickBot="1">
      <c r="B50" s="78"/>
      <c r="C50" s="104">
        <f>SUM(C47:C49)</f>
        <v>18117.227010000002</v>
      </c>
      <c r="D50" s="77"/>
      <c r="E50" s="110">
        <f>SUM(E47:E49)</f>
        <v>14061.29632</v>
      </c>
      <c r="F50" s="226"/>
      <c r="G50" s="110">
        <f>SUM(G47:G49)</f>
        <v>12654.315</v>
      </c>
      <c r="H50" s="226"/>
      <c r="I50" s="75"/>
    </row>
    <row r="51" spans="2:9" s="69" customFormat="1" ht="15.75">
      <c r="B51" s="78"/>
      <c r="C51" s="103"/>
      <c r="D51" s="77"/>
      <c r="E51" s="105"/>
      <c r="F51" s="226"/>
      <c r="G51" s="105"/>
      <c r="H51" s="226"/>
      <c r="I51" s="75"/>
    </row>
    <row r="52" spans="2:9" s="69" customFormat="1" ht="15.75">
      <c r="B52" s="78" t="s">
        <v>39</v>
      </c>
      <c r="C52" s="105"/>
      <c r="D52" s="77"/>
      <c r="E52" s="105"/>
      <c r="F52" s="226"/>
      <c r="G52" s="105"/>
      <c r="H52" s="226"/>
      <c r="I52" s="75"/>
    </row>
    <row r="53" spans="2:9" s="69" customFormat="1" ht="15">
      <c r="B53" s="72" t="s">
        <v>59</v>
      </c>
      <c r="C53" s="103">
        <f>'[3]1conso-YTD'!$N$111</f>
        <v>8518.03714</v>
      </c>
      <c r="D53" s="73"/>
      <c r="E53" s="103">
        <f>'[10]1conso-YTD (2)'!$U$143</f>
        <v>7530.93075</v>
      </c>
      <c r="F53" s="225"/>
      <c r="G53" s="103">
        <f>'[8]1conso-YTD (2)'!$U$143/1000</f>
        <v>13038.979</v>
      </c>
      <c r="H53" s="225"/>
      <c r="I53" s="75"/>
    </row>
    <row r="54" spans="2:9" s="69" customFormat="1" ht="15">
      <c r="B54" s="72" t="s">
        <v>117</v>
      </c>
      <c r="C54" s="103">
        <f>'[3]1conso-YTD'!$N$112</f>
        <v>2186.2584</v>
      </c>
      <c r="D54" s="73"/>
      <c r="E54" s="235">
        <f>'[10]1conso-YTD (2)'!$U$144+'[10]1conso-YTD (2)'!$U$145</f>
        <v>5410.91096</v>
      </c>
      <c r="F54" s="225"/>
      <c r="G54" s="235">
        <f>('[8]1conso-YTD (2)'!$U$144+'[8]1conso-YTD (2)'!$U$145)/1000</f>
        <v>7206.169</v>
      </c>
      <c r="H54" s="225"/>
      <c r="I54" s="75"/>
    </row>
    <row r="55" spans="2:9" s="69" customFormat="1" ht="15">
      <c r="B55" s="72" t="s">
        <v>58</v>
      </c>
      <c r="C55" s="103">
        <f>'[3]1conso-YTD'!$N$113</f>
        <v>311.98563</v>
      </c>
      <c r="D55" s="73"/>
      <c r="E55" s="272">
        <f>'[10]1conso-YTD (2)'!$U$154</f>
        <v>430.81567000000007</v>
      </c>
      <c r="F55" s="271"/>
      <c r="G55" s="272">
        <f>'[8]1conso-YTD (2)'!$U$154/1000</f>
        <v>0</v>
      </c>
      <c r="H55" s="225"/>
      <c r="I55" s="75"/>
    </row>
    <row r="56" spans="2:9" s="69" customFormat="1" ht="15">
      <c r="B56" s="75" t="s">
        <v>262</v>
      </c>
      <c r="C56" s="103"/>
      <c r="D56" s="73"/>
      <c r="E56" s="262">
        <f>'[10]1conso-YTD (2)'!$U$140</f>
        <v>251.19436</v>
      </c>
      <c r="F56" s="225"/>
      <c r="G56" s="262">
        <f>'[8]1conso-YTD (2)'!$U$140/1000</f>
        <v>4246.297</v>
      </c>
      <c r="H56" s="225"/>
      <c r="I56" s="75"/>
    </row>
    <row r="57" spans="2:9" s="69" customFormat="1" ht="15">
      <c r="B57" s="72" t="s">
        <v>60</v>
      </c>
      <c r="C57" s="103">
        <f>'[3]1conso-YTD'!$N$114+5000</f>
        <v>17328.22855</v>
      </c>
      <c r="D57" s="73"/>
      <c r="E57" s="103">
        <f>'[10]1conso-YTD (2)'!$U$155</f>
        <v>29256.234819999998</v>
      </c>
      <c r="F57" s="225"/>
      <c r="G57" s="103">
        <f>'[8]1conso-YTD (2)'!$U$155/1000</f>
        <v>23487.684</v>
      </c>
      <c r="H57" s="225"/>
      <c r="I57" s="75"/>
    </row>
    <row r="58" spans="2:9" s="69" customFormat="1" ht="15.75" thickBot="1">
      <c r="B58" s="72" t="s">
        <v>61</v>
      </c>
      <c r="C58" s="103">
        <f>'[3]1conso-YTD'!$N$115</f>
        <v>1489.59725</v>
      </c>
      <c r="D58" s="73"/>
      <c r="E58" s="263">
        <f>'[10]1conso-YTD (2)'!$U$156-1</f>
        <v>3524.7885500000007</v>
      </c>
      <c r="F58" s="225"/>
      <c r="G58" s="263">
        <f>'[8]1conso-YTD (2)'!$U$156/1000</f>
        <v>2991.394</v>
      </c>
      <c r="H58" s="225"/>
      <c r="I58" s="75"/>
    </row>
    <row r="59" spans="2:9" s="69" customFormat="1" ht="15.75" thickBot="1">
      <c r="B59" s="75"/>
      <c r="C59" s="110">
        <f>SUM(C53:C58)</f>
        <v>29834.10697</v>
      </c>
      <c r="D59" s="77"/>
      <c r="E59" s="110">
        <f>SUM(E53:E58)</f>
        <v>46404.87510999999</v>
      </c>
      <c r="F59" s="226"/>
      <c r="G59" s="110">
        <f>SUM(G53:G58)-1</f>
        <v>50969.523</v>
      </c>
      <c r="H59" s="226"/>
      <c r="I59" s="75"/>
    </row>
    <row r="60" spans="2:9" s="69" customFormat="1" ht="12.75" customHeight="1">
      <c r="B60" s="75"/>
      <c r="C60" s="105"/>
      <c r="D60" s="77"/>
      <c r="E60" s="105"/>
      <c r="F60" s="226"/>
      <c r="G60" s="105"/>
      <c r="H60" s="226"/>
      <c r="I60" s="75"/>
    </row>
    <row r="61" spans="2:9" s="69" customFormat="1" ht="15.75">
      <c r="B61" s="78" t="s">
        <v>40</v>
      </c>
      <c r="C61" s="105">
        <f>+C59+C50</f>
        <v>47951.33398</v>
      </c>
      <c r="D61" s="77"/>
      <c r="E61" s="105">
        <f>+E59+E50</f>
        <v>60466.171429999995</v>
      </c>
      <c r="F61" s="226"/>
      <c r="G61" s="105">
        <f>+G59+G50</f>
        <v>63623.838</v>
      </c>
      <c r="H61" s="226"/>
      <c r="I61" s="75"/>
    </row>
    <row r="62" spans="3:9" s="69" customFormat="1" ht="12.75" customHeight="1">
      <c r="C62" s="105"/>
      <c r="D62" s="77"/>
      <c r="E62" s="105"/>
      <c r="F62" s="226"/>
      <c r="G62" s="105"/>
      <c r="H62" s="226"/>
      <c r="I62" s="75"/>
    </row>
    <row r="63" spans="2:9" s="69" customFormat="1" ht="16.5" thickBot="1">
      <c r="B63" s="67" t="s">
        <v>41</v>
      </c>
      <c r="C63" s="106">
        <f>C61+C44</f>
        <v>105796.38605</v>
      </c>
      <c r="D63" s="70"/>
      <c r="E63" s="106">
        <f>E61+E44</f>
        <v>170391.92659999998</v>
      </c>
      <c r="F63" s="227"/>
      <c r="G63" s="106">
        <f>G61+G44</f>
        <v>170474.28499999997</v>
      </c>
      <c r="H63" s="227"/>
      <c r="I63" s="75"/>
    </row>
    <row r="64" spans="2:9" s="69" customFormat="1" ht="16.5" thickTop="1">
      <c r="B64" s="67"/>
      <c r="C64" s="73"/>
      <c r="D64" s="77"/>
      <c r="E64" s="226"/>
      <c r="F64" s="226"/>
      <c r="G64" s="77"/>
      <c r="H64" s="226"/>
      <c r="I64" s="75"/>
    </row>
    <row r="65" spans="2:9" s="69" customFormat="1" ht="15.75">
      <c r="B65" s="67"/>
      <c r="D65" s="73"/>
      <c r="E65" s="225"/>
      <c r="F65" s="225"/>
      <c r="G65" s="73"/>
      <c r="H65" s="225"/>
      <c r="I65" s="75"/>
    </row>
    <row r="66" spans="2:9" s="69" customFormat="1" ht="15" hidden="1">
      <c r="B66" s="69" t="s">
        <v>6</v>
      </c>
      <c r="C66" s="79" t="e">
        <f>+(+#REF!-C19+#REF!)/43560</f>
        <v>#REF!</v>
      </c>
      <c r="D66" s="79"/>
      <c r="E66" s="228"/>
      <c r="F66" s="228"/>
      <c r="G66" s="79"/>
      <c r="H66" s="228"/>
      <c r="I66" s="75"/>
    </row>
    <row r="67" spans="2:9" s="69" customFormat="1" ht="15">
      <c r="B67" s="439" t="s">
        <v>127</v>
      </c>
      <c r="C67" s="79"/>
      <c r="D67" s="79"/>
      <c r="E67" s="228"/>
      <c r="F67" s="228"/>
      <c r="G67" s="79"/>
      <c r="H67" s="228"/>
      <c r="I67" s="75"/>
    </row>
    <row r="68" spans="2:9" s="69" customFormat="1" ht="15">
      <c r="B68" s="439"/>
      <c r="C68" s="79">
        <f>+C42/90000</f>
        <v>0.6427491294333333</v>
      </c>
      <c r="D68" s="79"/>
      <c r="E68" s="79">
        <f>+E42/160000</f>
        <v>0.6876236525170999</v>
      </c>
      <c r="F68" s="228"/>
      <c r="G68" s="79">
        <f>+G42/160000</f>
        <v>0.6682051687499999</v>
      </c>
      <c r="H68" s="228"/>
      <c r="I68" s="75"/>
    </row>
    <row r="69" s="69" customFormat="1" ht="9.75" customHeight="1">
      <c r="B69" s="80"/>
    </row>
    <row r="70" spans="1:12" s="69" customFormat="1" ht="15">
      <c r="A70" s="81" t="s">
        <v>125</v>
      </c>
      <c r="B70" s="69" t="s">
        <v>211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2:12" s="69" customFormat="1" ht="15">
      <c r="B71" s="69" t="s">
        <v>275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</row>
    <row r="72" spans="2:12" s="69" customFormat="1" ht="15">
      <c r="B72" s="75"/>
      <c r="C72" s="82"/>
      <c r="D72" s="82"/>
      <c r="E72" s="82"/>
      <c r="F72" s="82"/>
      <c r="G72" s="82"/>
      <c r="H72" s="82"/>
      <c r="I72" s="82"/>
      <c r="J72" s="82"/>
      <c r="K72" s="82"/>
      <c r="L72" s="82"/>
    </row>
    <row r="73" spans="1:10" s="69" customFormat="1" ht="15">
      <c r="A73" s="81" t="s">
        <v>126</v>
      </c>
      <c r="B73" s="69" t="s">
        <v>287</v>
      </c>
      <c r="C73" s="83"/>
      <c r="D73" s="83"/>
      <c r="E73" s="83"/>
      <c r="F73" s="83"/>
      <c r="G73" s="83"/>
      <c r="H73" s="83"/>
      <c r="I73" s="83"/>
      <c r="J73" s="83"/>
    </row>
    <row r="74" spans="2:10" s="69" customFormat="1" ht="15">
      <c r="B74" s="84" t="s">
        <v>276</v>
      </c>
      <c r="C74" s="83"/>
      <c r="D74" s="83"/>
      <c r="E74" s="83"/>
      <c r="F74" s="83"/>
      <c r="G74" s="83"/>
      <c r="H74" s="83"/>
      <c r="I74" s="83"/>
      <c r="J74" s="83"/>
    </row>
    <row r="75" spans="2:10" ht="15">
      <c r="B75" s="75" t="s">
        <v>272</v>
      </c>
      <c r="C75" s="11"/>
      <c r="D75" s="38"/>
      <c r="E75" s="38"/>
      <c r="F75" s="38"/>
      <c r="G75" s="38"/>
      <c r="H75" s="38"/>
      <c r="I75" s="38"/>
      <c r="J75" s="38"/>
    </row>
    <row r="79" ht="12.75">
      <c r="C79" s="124"/>
    </row>
  </sheetData>
  <sheetProtection/>
  <mergeCells count="2">
    <mergeCell ref="B1:I1"/>
    <mergeCell ref="B67:B68"/>
  </mergeCells>
  <printOptions gridLines="1"/>
  <pageMargins left="0.36" right="0.17" top="0.3" bottom="0.2" header="0.22" footer="0.1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zoomScalePageLayoutView="0" workbookViewId="0" topLeftCell="D1">
      <selection activeCell="D4" sqref="D4"/>
    </sheetView>
  </sheetViews>
  <sheetFormatPr defaultColWidth="9.140625" defaultRowHeight="12.75"/>
  <cols>
    <col min="1" max="1" width="3.140625" style="90" customWidth="1"/>
    <col min="2" max="2" width="43.57421875" style="90" customWidth="1"/>
    <col min="3" max="8" width="18.7109375" style="90" customWidth="1"/>
    <col min="9" max="9" width="22.7109375" style="90" customWidth="1"/>
    <col min="10" max="10" width="18.7109375" style="90" customWidth="1"/>
    <col min="11" max="16384" width="9.140625" style="90" customWidth="1"/>
  </cols>
  <sheetData>
    <row r="1" ht="20.25">
      <c r="B1" s="89" t="str">
        <f>+'Income statement'!B1</f>
        <v>HANDAL RESOURCES  BERHAD (816839-X)</v>
      </c>
    </row>
    <row r="2" ht="15" customHeight="1"/>
    <row r="3" s="92" customFormat="1" ht="15">
      <c r="B3" s="91" t="s">
        <v>86</v>
      </c>
    </row>
    <row r="4" s="92" customFormat="1" ht="15" customHeight="1">
      <c r="B4" s="16" t="s">
        <v>284</v>
      </c>
    </row>
    <row r="5" s="92" customFormat="1" ht="15">
      <c r="B5" s="91"/>
    </row>
    <row r="6" s="92" customFormat="1" ht="15.75" thickBot="1">
      <c r="B6" s="91"/>
    </row>
    <row r="7" spans="3:10" s="92" customFormat="1" ht="20.25" customHeight="1" thickBot="1">
      <c r="C7" s="440" t="s">
        <v>121</v>
      </c>
      <c r="D7" s="441"/>
      <c r="E7" s="441"/>
      <c r="F7" s="441"/>
      <c r="G7" s="441"/>
      <c r="H7" s="441"/>
      <c r="I7" s="441"/>
      <c r="J7" s="442"/>
    </row>
    <row r="8" s="92" customFormat="1" ht="12.75" customHeight="1" hidden="1"/>
    <row r="9" s="92" customFormat="1" ht="12.75" customHeight="1" hidden="1"/>
    <row r="10" spans="3:10" s="92" customFormat="1" ht="15" customHeight="1">
      <c r="C10" s="93"/>
      <c r="D10" s="93"/>
      <c r="E10" s="93"/>
      <c r="F10" s="93"/>
      <c r="G10" s="93"/>
      <c r="H10" s="93"/>
      <c r="I10" s="88"/>
      <c r="J10" s="93"/>
    </row>
    <row r="11" spans="3:10" s="92" customFormat="1" ht="15" customHeight="1">
      <c r="C11" s="93"/>
      <c r="D11" s="93"/>
      <c r="E11" s="93"/>
      <c r="F11" s="93"/>
      <c r="G11" s="93"/>
      <c r="H11" s="93"/>
      <c r="I11" s="97"/>
      <c r="J11" s="97"/>
    </row>
    <row r="12" spans="3:10" s="92" customFormat="1" ht="15" customHeight="1">
      <c r="C12" s="93" t="s">
        <v>5</v>
      </c>
      <c r="D12" s="93" t="s">
        <v>243</v>
      </c>
      <c r="E12" s="93" t="s">
        <v>10</v>
      </c>
      <c r="F12" s="93" t="s">
        <v>240</v>
      </c>
      <c r="G12" s="98" t="s">
        <v>11</v>
      </c>
      <c r="H12" s="93" t="s">
        <v>147</v>
      </c>
      <c r="I12" s="98" t="s">
        <v>209</v>
      </c>
      <c r="J12" s="98" t="s">
        <v>62</v>
      </c>
    </row>
    <row r="13" spans="3:10" s="92" customFormat="1" ht="15" customHeight="1">
      <c r="C13" s="93"/>
      <c r="D13" s="93"/>
      <c r="E13" s="93"/>
      <c r="F13" s="93"/>
      <c r="G13" s="97"/>
      <c r="H13" s="93"/>
      <c r="I13" s="97"/>
      <c r="J13" s="97"/>
    </row>
    <row r="14" spans="3:10" s="92" customFormat="1" ht="15" customHeight="1"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93" t="s">
        <v>0</v>
      </c>
      <c r="I14" s="93" t="s">
        <v>0</v>
      </c>
      <c r="J14" s="93" t="s">
        <v>3</v>
      </c>
    </row>
    <row r="15" spans="3:10" s="92" customFormat="1" ht="15" customHeight="1">
      <c r="C15" s="93"/>
      <c r="D15" s="93"/>
      <c r="E15" s="93"/>
      <c r="F15" s="93"/>
      <c r="G15" s="93"/>
      <c r="H15" s="93"/>
      <c r="I15" s="93"/>
      <c r="J15" s="93"/>
    </row>
    <row r="16" spans="2:12" s="92" customFormat="1" ht="15" customHeight="1">
      <c r="B16" s="91" t="s">
        <v>273</v>
      </c>
      <c r="C16" s="264">
        <f>80000000/1000</f>
        <v>80000</v>
      </c>
      <c r="D16" s="264">
        <v>0</v>
      </c>
      <c r="E16" s="264">
        <v>29</v>
      </c>
      <c r="F16" s="264">
        <f>2660000/1000</f>
        <v>2660</v>
      </c>
      <c r="G16" s="264">
        <f>24223370/1000</f>
        <v>24223.37</v>
      </c>
      <c r="H16" s="264">
        <f>SUM(C16:G16)</f>
        <v>106912.37</v>
      </c>
      <c r="I16" s="264">
        <f>-63380/1000</f>
        <v>-63.38</v>
      </c>
      <c r="J16" s="264">
        <f>SUM(H16:I16)</f>
        <v>106848.98999999999</v>
      </c>
      <c r="K16" s="245"/>
      <c r="L16" s="245"/>
    </row>
    <row r="17" spans="2:12" s="92" customFormat="1" ht="15" customHeight="1">
      <c r="B17" s="91"/>
      <c r="C17" s="264"/>
      <c r="D17" s="264"/>
      <c r="E17" s="264"/>
      <c r="F17" s="264"/>
      <c r="G17" s="244"/>
      <c r="H17" s="244"/>
      <c r="I17" s="264"/>
      <c r="J17" s="264"/>
      <c r="K17" s="245"/>
      <c r="L17" s="245"/>
    </row>
    <row r="18" spans="2:12" s="92" customFormat="1" ht="15" customHeight="1">
      <c r="B18" s="20" t="s">
        <v>260</v>
      </c>
      <c r="C18" s="264">
        <v>0</v>
      </c>
      <c r="D18" s="267">
        <v>0</v>
      </c>
      <c r="E18" s="264">
        <v>0</v>
      </c>
      <c r="F18" s="264">
        <v>0</v>
      </c>
      <c r="G18" s="264">
        <v>0</v>
      </c>
      <c r="H18" s="264">
        <f>SUM(C18:G18)</f>
        <v>0</v>
      </c>
      <c r="I18" s="264">
        <v>0</v>
      </c>
      <c r="J18" s="264">
        <f>SUM(H18:I18)</f>
        <v>0</v>
      </c>
      <c r="K18" s="245"/>
      <c r="L18" s="245"/>
    </row>
    <row r="19" spans="3:12" s="92" customFormat="1" ht="15" customHeight="1">
      <c r="C19" s="264"/>
      <c r="D19" s="264"/>
      <c r="E19" s="264"/>
      <c r="F19" s="264"/>
      <c r="G19" s="264"/>
      <c r="H19" s="264"/>
      <c r="I19" s="264"/>
      <c r="J19" s="264"/>
      <c r="K19" s="245"/>
      <c r="L19" s="245"/>
    </row>
    <row r="20" spans="2:12" s="92" customFormat="1" ht="15" customHeight="1">
      <c r="B20" s="92" t="s">
        <v>10</v>
      </c>
      <c r="C20" s="264">
        <v>0</v>
      </c>
      <c r="D20" s="264">
        <v>0</v>
      </c>
      <c r="E20" s="264">
        <v>0</v>
      </c>
      <c r="F20" s="264">
        <v>0</v>
      </c>
      <c r="G20" s="264">
        <v>0</v>
      </c>
      <c r="H20" s="264">
        <f>SUM(C20:G20)</f>
        <v>0</v>
      </c>
      <c r="I20" s="264">
        <v>0</v>
      </c>
      <c r="J20" s="264">
        <f>SUM(H20:I20)</f>
        <v>0</v>
      </c>
      <c r="K20" s="245"/>
      <c r="L20" s="245"/>
    </row>
    <row r="21" spans="3:12" s="92" customFormat="1" ht="15" customHeight="1">
      <c r="C21" s="264"/>
      <c r="D21" s="264"/>
      <c r="E21" s="264"/>
      <c r="F21" s="264"/>
      <c r="G21" s="244"/>
      <c r="H21" s="244"/>
      <c r="I21" s="244"/>
      <c r="J21" s="244"/>
      <c r="K21" s="245"/>
      <c r="L21" s="245"/>
    </row>
    <row r="22" spans="2:12" s="92" customFormat="1" ht="15" customHeight="1">
      <c r="B22" s="92" t="s">
        <v>231</v>
      </c>
      <c r="C22" s="264">
        <v>0</v>
      </c>
      <c r="D22" s="264">
        <v>0</v>
      </c>
      <c r="E22" s="267">
        <v>0</v>
      </c>
      <c r="F22" s="267">
        <v>0</v>
      </c>
      <c r="G22" s="267">
        <v>3108</v>
      </c>
      <c r="H22" s="267">
        <f>SUM(C22:G22)</f>
        <v>3108</v>
      </c>
      <c r="I22" s="267">
        <f>-94-I16</f>
        <v>-30.619999999999997</v>
      </c>
      <c r="J22" s="267">
        <f>SUM(H22:I22)</f>
        <v>3077.38</v>
      </c>
      <c r="K22" s="245"/>
      <c r="L22" s="245"/>
    </row>
    <row r="23" spans="3:12" s="92" customFormat="1" ht="15" customHeight="1">
      <c r="C23" s="265"/>
      <c r="D23" s="265"/>
      <c r="E23" s="268"/>
      <c r="F23" s="268"/>
      <c r="G23" s="268"/>
      <c r="H23" s="268"/>
      <c r="I23" s="268"/>
      <c r="J23" s="268"/>
      <c r="K23" s="245"/>
      <c r="L23" s="245"/>
    </row>
    <row r="24" spans="2:12" s="92" customFormat="1" ht="15" customHeight="1" thickBot="1">
      <c r="B24" s="91" t="s">
        <v>288</v>
      </c>
      <c r="C24" s="266">
        <f aca="true" t="shared" si="0" ref="C24:J24">SUM(C16:C23)</f>
        <v>80000</v>
      </c>
      <c r="D24" s="266">
        <f t="shared" si="0"/>
        <v>0</v>
      </c>
      <c r="E24" s="269">
        <f t="shared" si="0"/>
        <v>29</v>
      </c>
      <c r="F24" s="266">
        <f t="shared" si="0"/>
        <v>2660</v>
      </c>
      <c r="G24" s="269">
        <f t="shared" si="0"/>
        <v>27331.37</v>
      </c>
      <c r="H24" s="269">
        <f>SUM(H16:H23)</f>
        <v>110020.37</v>
      </c>
      <c r="I24" s="269">
        <f>SUM(I16:I23)</f>
        <v>-94</v>
      </c>
      <c r="J24" s="269">
        <f t="shared" si="0"/>
        <v>109926.37</v>
      </c>
      <c r="K24" s="246"/>
      <c r="L24" s="245"/>
    </row>
    <row r="25" spans="3:12" s="92" customFormat="1" ht="15" customHeight="1" thickTop="1">
      <c r="C25" s="94"/>
      <c r="D25" s="94"/>
      <c r="E25" s="270"/>
      <c r="F25" s="270"/>
      <c r="G25" s="248"/>
      <c r="H25" s="248"/>
      <c r="I25" s="248"/>
      <c r="J25" s="248"/>
      <c r="K25" s="245"/>
      <c r="L25" s="245"/>
    </row>
    <row r="26" spans="3:16" s="92" customFormat="1" ht="15" customHeight="1">
      <c r="C26" s="247"/>
      <c r="D26" s="94"/>
      <c r="E26" s="247"/>
      <c r="F26" s="94"/>
      <c r="G26" s="247"/>
      <c r="H26" s="247"/>
      <c r="I26" s="247"/>
      <c r="J26" s="246"/>
      <c r="K26" s="245"/>
      <c r="L26" s="245"/>
      <c r="P26" s="94"/>
    </row>
    <row r="27" spans="2:16" s="92" customFormat="1" ht="15" customHeight="1" hidden="1">
      <c r="B27" s="92" t="s">
        <v>118</v>
      </c>
      <c r="C27" s="94"/>
      <c r="D27" s="94"/>
      <c r="E27" s="94"/>
      <c r="F27" s="94"/>
      <c r="G27" s="94"/>
      <c r="H27" s="94"/>
      <c r="I27" s="94"/>
      <c r="K27" s="95"/>
      <c r="M27" s="95"/>
      <c r="O27" s="95"/>
      <c r="P27" s="94"/>
    </row>
    <row r="28" spans="2:15" s="92" customFormat="1" ht="15" customHeight="1" hidden="1">
      <c r="B28" s="95"/>
      <c r="C28" s="94"/>
      <c r="D28" s="94"/>
      <c r="E28" s="94"/>
      <c r="F28" s="94"/>
      <c r="G28" s="94"/>
      <c r="H28" s="94"/>
      <c r="I28" s="94"/>
      <c r="J28" s="94"/>
      <c r="K28" s="95"/>
      <c r="M28" s="95"/>
      <c r="N28" s="95"/>
      <c r="O28" s="95"/>
    </row>
    <row r="29" spans="2:12" ht="14.25" hidden="1">
      <c r="B29" s="96"/>
      <c r="C29" s="96"/>
      <c r="D29" s="96"/>
      <c r="E29" s="96"/>
      <c r="F29" s="96"/>
      <c r="G29" s="96"/>
      <c r="H29" s="96"/>
      <c r="I29" s="96"/>
      <c r="L29" s="92"/>
    </row>
    <row r="30" spans="2:12" ht="14.25" hidden="1">
      <c r="B30" s="121" t="s">
        <v>143</v>
      </c>
      <c r="C30" s="96"/>
      <c r="D30" s="96"/>
      <c r="E30" s="96"/>
      <c r="F30" s="96"/>
      <c r="G30" s="96"/>
      <c r="H30" s="96"/>
      <c r="I30" s="96"/>
      <c r="L30" s="92"/>
    </row>
    <row r="31" spans="2:12" ht="14.25" hidden="1">
      <c r="B31" s="119" t="s">
        <v>146</v>
      </c>
      <c r="C31" s="120"/>
      <c r="D31" s="120"/>
      <c r="E31" s="120"/>
      <c r="F31" s="120"/>
      <c r="G31" s="120"/>
      <c r="H31" s="120"/>
      <c r="I31" s="120"/>
      <c r="L31" s="92"/>
    </row>
    <row r="32" spans="2:9" ht="14.25" hidden="1">
      <c r="B32" s="92" t="s">
        <v>144</v>
      </c>
      <c r="C32" s="92"/>
      <c r="D32" s="92"/>
      <c r="E32" s="92"/>
      <c r="F32" s="92"/>
      <c r="G32" s="92"/>
      <c r="H32" s="92"/>
      <c r="I32" s="92"/>
    </row>
    <row r="33" spans="2:9" ht="14.25">
      <c r="B33" s="92"/>
      <c r="C33" s="92"/>
      <c r="D33" s="92"/>
      <c r="E33" s="92"/>
      <c r="F33" s="92"/>
      <c r="G33" s="92"/>
      <c r="H33" s="92"/>
      <c r="I33" s="92"/>
    </row>
    <row r="34" spans="2:9" ht="14.25">
      <c r="B34" s="92" t="s">
        <v>218</v>
      </c>
      <c r="C34" s="92"/>
      <c r="D34" s="92"/>
      <c r="E34" s="92"/>
      <c r="F34" s="92"/>
      <c r="G34" s="92"/>
      <c r="H34" s="92"/>
      <c r="I34" s="92"/>
    </row>
    <row r="35" spans="2:9" ht="14.25">
      <c r="B35" s="92" t="s">
        <v>275</v>
      </c>
      <c r="C35" s="92"/>
      <c r="D35" s="92"/>
      <c r="E35" s="92"/>
      <c r="F35" s="92"/>
      <c r="G35" s="92"/>
      <c r="H35" s="92"/>
      <c r="I35" s="92"/>
    </row>
    <row r="36" ht="14.25">
      <c r="B36" s="95" t="s">
        <v>99</v>
      </c>
    </row>
  </sheetData>
  <sheetProtection/>
  <mergeCells count="1">
    <mergeCell ref="C7:J7"/>
  </mergeCells>
  <printOptions gridLines="1"/>
  <pageMargins left="0.24" right="0.17" top="0.58" bottom="0.17" header="0.29" footer="0.1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9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statement'!B1</f>
        <v>HANDAL RESOURCES  BERHAD (816839-X)</v>
      </c>
    </row>
    <row r="3" spans="1:6" ht="12.75">
      <c r="A3" s="2" t="s">
        <v>87</v>
      </c>
      <c r="B3" s="12"/>
      <c r="C3" s="12"/>
      <c r="D3" s="12"/>
      <c r="E3" s="12"/>
      <c r="F3" s="12"/>
    </row>
    <row r="4" spans="1:6" ht="15" customHeight="1">
      <c r="A4" s="2" t="s">
        <v>84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25</v>
      </c>
    </row>
    <row r="6" spans="1:6" ht="15" customHeight="1">
      <c r="A6" s="2"/>
      <c r="B6" s="12"/>
      <c r="C6" s="12"/>
      <c r="D6" s="5" t="s">
        <v>13</v>
      </c>
      <c r="E6" s="12"/>
      <c r="F6" s="5" t="s">
        <v>26</v>
      </c>
    </row>
    <row r="7" spans="1:6" ht="15" customHeight="1">
      <c r="A7" s="2"/>
      <c r="B7" s="12"/>
      <c r="C7" s="12"/>
      <c r="D7" s="5" t="s">
        <v>12</v>
      </c>
      <c r="E7" s="12"/>
      <c r="F7" s="5" t="s">
        <v>98</v>
      </c>
    </row>
    <row r="8" spans="1:6" ht="15" customHeight="1">
      <c r="A8" s="2"/>
      <c r="B8" s="12"/>
      <c r="C8" s="12"/>
      <c r="D8" s="5" t="str">
        <f>'Income statement'!M13</f>
        <v>30 September 2015</v>
      </c>
      <c r="E8" s="12"/>
      <c r="F8" s="5" t="str">
        <f>'Income statement'!N13</f>
        <v>30 September 2014</v>
      </c>
    </row>
    <row r="9" spans="1:6" ht="15" customHeight="1">
      <c r="A9" s="2"/>
      <c r="B9" s="12"/>
      <c r="C9" s="12"/>
      <c r="D9" s="5" t="s">
        <v>3</v>
      </c>
      <c r="E9" s="12"/>
      <c r="F9" s="5" t="s">
        <v>3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63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24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7</v>
      </c>
      <c r="B15" s="19"/>
      <c r="C15" s="19"/>
      <c r="D15" s="21"/>
      <c r="E15" s="21"/>
      <c r="F15" s="29"/>
    </row>
    <row r="16" spans="1:6" ht="14.25" customHeight="1">
      <c r="A16" s="40" t="s">
        <v>65</v>
      </c>
      <c r="B16" s="19"/>
      <c r="C16" s="19"/>
      <c r="D16" s="21">
        <f>'[1]cashflow.'!D12</f>
        <v>363.5</v>
      </c>
      <c r="E16" s="21"/>
      <c r="F16" s="29" t="s">
        <v>24</v>
      </c>
    </row>
    <row r="17" spans="1:6" ht="14.25">
      <c r="A17" s="40" t="s">
        <v>64</v>
      </c>
      <c r="B17" s="19"/>
      <c r="C17" s="19"/>
      <c r="D17" s="21">
        <f>'[1]cashflow.'!D13</f>
        <v>265</v>
      </c>
      <c r="E17" s="21"/>
      <c r="F17" s="29" t="s">
        <v>24</v>
      </c>
    </row>
    <row r="18" spans="1:6" ht="14.25">
      <c r="A18" s="40" t="s">
        <v>66</v>
      </c>
      <c r="B18" s="19"/>
      <c r="C18" s="19"/>
      <c r="D18" s="21">
        <f>'[1]cashflow.'!D14</f>
        <v>7.4</v>
      </c>
      <c r="E18" s="21"/>
      <c r="F18" s="29" t="s">
        <v>24</v>
      </c>
    </row>
    <row r="19" spans="1:6" ht="15.75" customHeight="1">
      <c r="A19" s="40" t="s">
        <v>68</v>
      </c>
      <c r="B19" s="19"/>
      <c r="C19" s="19"/>
      <c r="D19" s="21">
        <f>'[1]cashflow.'!D15</f>
        <v>0</v>
      </c>
      <c r="E19" s="21"/>
      <c r="F19" s="29" t="s">
        <v>24</v>
      </c>
    </row>
    <row r="20" spans="1:6" ht="14.25">
      <c r="A20" s="40" t="s">
        <v>67</v>
      </c>
      <c r="B20" s="19"/>
      <c r="C20" s="19"/>
      <c r="D20" s="21">
        <f>'[1]cashflow.'!D16</f>
        <v>-97</v>
      </c>
      <c r="E20" s="21"/>
      <c r="F20" s="29" t="s">
        <v>24</v>
      </c>
    </row>
    <row r="21" spans="1:6" ht="15" customHeight="1" thickBot="1">
      <c r="A21" s="40" t="s">
        <v>102</v>
      </c>
      <c r="B21" s="20"/>
      <c r="C21" s="19"/>
      <c r="D21" s="21">
        <f>'[1]cashflow.'!D17</f>
        <v>-1123.228034050444</v>
      </c>
      <c r="E21" s="28"/>
      <c r="F21" s="30" t="s">
        <v>24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8</v>
      </c>
      <c r="B23" s="19"/>
      <c r="C23" s="19"/>
      <c r="D23" s="49">
        <f>SUM(D13:D21)</f>
        <v>2906.985599999999</v>
      </c>
      <c r="E23" s="21"/>
      <c r="F23" s="29" t="s">
        <v>24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88</v>
      </c>
      <c r="B25" s="24"/>
      <c r="C25" s="24"/>
      <c r="D25" s="21">
        <f>'[1]cashflow.'!D22</f>
        <v>0</v>
      </c>
      <c r="E25" s="21"/>
      <c r="F25" s="29" t="s">
        <v>24</v>
      </c>
      <c r="G25" s="19"/>
      <c r="H25" s="19"/>
    </row>
    <row r="26" spans="1:8" ht="14.25" customHeight="1">
      <c r="A26" s="41" t="s">
        <v>89</v>
      </c>
      <c r="B26" s="24"/>
      <c r="C26" s="24"/>
      <c r="D26" s="21">
        <f>'[1]cashflow.'!D23</f>
        <v>-867.4733900000028</v>
      </c>
      <c r="E26" s="21"/>
      <c r="F26" s="29" t="s">
        <v>24</v>
      </c>
      <c r="G26" s="19"/>
      <c r="H26" s="19"/>
    </row>
    <row r="27" spans="1:8" ht="14.25" customHeight="1">
      <c r="A27" s="41" t="s">
        <v>103</v>
      </c>
      <c r="B27" s="24"/>
      <c r="C27" s="24"/>
      <c r="D27" s="21">
        <f>'[1]cashflow.'!D24</f>
        <v>78.74748</v>
      </c>
      <c r="E27" s="21"/>
      <c r="F27" s="29" t="s">
        <v>24</v>
      </c>
      <c r="G27" s="19"/>
      <c r="H27" s="19"/>
    </row>
    <row r="28" spans="1:8" ht="14.25" customHeight="1">
      <c r="A28" s="41" t="s">
        <v>104</v>
      </c>
      <c r="B28" s="20"/>
      <c r="C28" s="20"/>
      <c r="D28" s="21">
        <f>'[1]cashflow.'!D25</f>
        <v>669.1108099999999</v>
      </c>
      <c r="E28" s="21"/>
      <c r="F28" s="29" t="s">
        <v>24</v>
      </c>
      <c r="G28" s="19"/>
      <c r="H28" s="19"/>
    </row>
    <row r="29" spans="1:8" ht="14.25" customHeight="1">
      <c r="A29" s="41" t="s">
        <v>69</v>
      </c>
      <c r="B29" s="20"/>
      <c r="C29" s="20"/>
      <c r="D29" s="21">
        <f>'[1]cashflow.'!D26</f>
        <v>1842.1404200000015</v>
      </c>
      <c r="E29" s="21"/>
      <c r="F29" s="29" t="s">
        <v>24</v>
      </c>
      <c r="G29" s="19"/>
      <c r="H29" s="19"/>
    </row>
    <row r="30" spans="1:8" ht="15" thickBot="1">
      <c r="A30" s="40" t="s">
        <v>97</v>
      </c>
      <c r="B30" s="20"/>
      <c r="C30" s="20"/>
      <c r="D30" s="22">
        <f>'[1]cashflow.'!D27</f>
        <v>-2514.1371799999997</v>
      </c>
      <c r="E30" s="28"/>
      <c r="F30" s="30" t="s">
        <v>24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105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9</v>
      </c>
      <c r="B34" s="18"/>
      <c r="C34" s="18"/>
      <c r="D34" s="21">
        <f>'[1]cashflow.'!D31</f>
        <v>-363.5</v>
      </c>
      <c r="E34" s="21"/>
      <c r="F34" s="29" t="s">
        <v>24</v>
      </c>
      <c r="G34" s="19"/>
      <c r="H34" s="19"/>
    </row>
    <row r="35" spans="1:8" ht="14.25">
      <c r="A35" s="18" t="s">
        <v>70</v>
      </c>
      <c r="B35" s="18"/>
      <c r="C35" s="18"/>
      <c r="D35" s="21">
        <f>'[1]cashflow.'!D32</f>
        <v>-552.8730440504394</v>
      </c>
      <c r="E35" s="28"/>
      <c r="F35" s="29" t="s">
        <v>24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44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71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106</v>
      </c>
      <c r="B41" s="25"/>
      <c r="C41" s="25"/>
      <c r="D41" s="21">
        <f>'[1]cashflow.'!$D$37</f>
        <v>15849.791570000001</v>
      </c>
      <c r="E41" s="21"/>
      <c r="F41" s="29" t="s">
        <v>24</v>
      </c>
      <c r="G41" s="25"/>
      <c r="H41" s="19"/>
    </row>
    <row r="42" spans="1:8" ht="14.25">
      <c r="A42" s="42" t="s">
        <v>72</v>
      </c>
      <c r="B42" s="18"/>
      <c r="C42" s="18"/>
      <c r="D42" s="21">
        <f>'[1]cashflow.'!D38</f>
        <v>97</v>
      </c>
      <c r="E42" s="21"/>
      <c r="F42" s="29" t="s">
        <v>24</v>
      </c>
      <c r="G42" s="19"/>
      <c r="H42" s="19"/>
    </row>
    <row r="43" spans="1:8" ht="14.25">
      <c r="A43" s="42" t="s">
        <v>90</v>
      </c>
      <c r="B43" s="19"/>
      <c r="C43" s="19"/>
      <c r="D43" s="21">
        <f>'[1]cashflow.'!D39</f>
        <v>0</v>
      </c>
      <c r="E43" s="21"/>
      <c r="F43" s="29" t="s">
        <v>24</v>
      </c>
      <c r="G43" s="19"/>
      <c r="H43" s="19"/>
    </row>
    <row r="44" spans="1:8" ht="14.25">
      <c r="A44" s="42" t="s">
        <v>73</v>
      </c>
      <c r="B44" s="19"/>
      <c r="C44" s="19"/>
      <c r="D44" s="21">
        <f>'[1]cashflow.'!D40</f>
        <v>-1047.900669999999</v>
      </c>
      <c r="E44" s="21"/>
      <c r="F44" s="29" t="s">
        <v>24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74</v>
      </c>
      <c r="B47" s="18"/>
      <c r="C47" s="18"/>
      <c r="D47" s="34">
        <f>SUM(D41:D46)</f>
        <v>14898.890900000002</v>
      </c>
      <c r="E47" s="28"/>
      <c r="F47" s="35" t="s">
        <v>24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75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107</v>
      </c>
      <c r="B50" s="18"/>
      <c r="C50" s="18"/>
      <c r="D50" s="21">
        <f>'[1]cashflow.'!D46</f>
        <v>-978</v>
      </c>
      <c r="E50" s="21"/>
      <c r="F50" s="29" t="s">
        <v>24</v>
      </c>
      <c r="G50" s="19"/>
      <c r="H50" s="19"/>
    </row>
    <row r="51" spans="1:8" ht="14.25" customHeight="1">
      <c r="A51" s="43" t="s">
        <v>76</v>
      </c>
      <c r="B51" s="18"/>
      <c r="C51" s="18"/>
      <c r="D51" s="21">
        <f>'[1]cashflow.'!D47</f>
        <v>-2</v>
      </c>
      <c r="E51" s="21"/>
      <c r="F51" s="29" t="s">
        <v>24</v>
      </c>
      <c r="G51" s="19"/>
      <c r="H51" s="19"/>
    </row>
    <row r="52" spans="1:8" ht="14.25" customHeight="1">
      <c r="A52" s="43" t="s">
        <v>91</v>
      </c>
      <c r="B52" s="18"/>
      <c r="C52" s="18"/>
      <c r="D52" s="21">
        <f>'[1]cashflow.'!D48</f>
        <v>-4.5</v>
      </c>
      <c r="E52" s="21"/>
      <c r="F52" s="29" t="s">
        <v>24</v>
      </c>
      <c r="G52" s="19"/>
      <c r="H52" s="19"/>
    </row>
    <row r="53" spans="1:8" ht="14.25" customHeight="1">
      <c r="A53" s="43" t="s">
        <v>77</v>
      </c>
      <c r="B53" s="18"/>
      <c r="C53" s="18"/>
      <c r="D53" s="21">
        <f>'[1]cashflow.'!D49</f>
        <v>-13.609679999999997</v>
      </c>
      <c r="E53" s="21"/>
      <c r="F53" s="29" t="s">
        <v>24</v>
      </c>
      <c r="G53" s="19"/>
      <c r="H53" s="19"/>
    </row>
    <row r="54" spans="1:8" ht="14.25" customHeight="1">
      <c r="A54" s="44" t="s">
        <v>92</v>
      </c>
      <c r="B54" s="18"/>
      <c r="C54" s="18"/>
      <c r="D54" s="21">
        <f>'[1]cashflow.'!D50</f>
        <v>-36</v>
      </c>
      <c r="E54" s="21"/>
      <c r="F54" s="29" t="s">
        <v>24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108</v>
      </c>
      <c r="B56" s="18"/>
      <c r="C56" s="18"/>
      <c r="D56" s="21">
        <f>'[1]cashflow.'!D52</f>
        <v>-637.5</v>
      </c>
      <c r="E56" s="28"/>
      <c r="F56" s="29" t="s">
        <v>24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109</v>
      </c>
      <c r="B59" s="20"/>
      <c r="C59" s="20"/>
      <c r="D59" s="26">
        <f>SUM(D50:D58)</f>
        <v>-1671.60968</v>
      </c>
      <c r="E59" s="28"/>
      <c r="F59" s="30" t="s">
        <v>24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110</v>
      </c>
      <c r="B62" s="18"/>
      <c r="C62" s="18"/>
      <c r="D62" s="21">
        <f>D59+D47+D37</f>
        <v>14426.281915949561</v>
      </c>
      <c r="E62" s="28"/>
      <c r="F62" s="29" t="s">
        <v>24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443" t="s">
        <v>100</v>
      </c>
      <c r="B64" s="20"/>
      <c r="C64" s="20"/>
      <c r="D64" s="22">
        <f>'[1]cashflow.'!$D$58</f>
        <v>0.002</v>
      </c>
      <c r="E64" s="28"/>
      <c r="F64" s="30" t="s">
        <v>24</v>
      </c>
      <c r="G64" s="19"/>
      <c r="H64" s="19"/>
    </row>
    <row r="65" spans="1:8" ht="14.25">
      <c r="A65" s="443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443" t="s">
        <v>101</v>
      </c>
      <c r="B67" s="20"/>
      <c r="C67" s="19"/>
      <c r="D67" s="27">
        <f>D64+D62</f>
        <v>14426.283915949562</v>
      </c>
      <c r="E67" s="28"/>
      <c r="F67" s="33" t="s">
        <v>24</v>
      </c>
      <c r="G67" s="19"/>
      <c r="H67" s="19"/>
    </row>
    <row r="68" spans="1:6" ht="15" thickTop="1">
      <c r="A68" s="443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96</v>
      </c>
      <c r="B70" s="12"/>
      <c r="C70" s="12"/>
      <c r="D70" s="12"/>
      <c r="E70" s="28"/>
      <c r="F70" s="12"/>
    </row>
    <row r="71" spans="1:6" ht="14.25">
      <c r="A71" s="12" t="s">
        <v>81</v>
      </c>
      <c r="B71" s="12"/>
      <c r="C71" s="12"/>
      <c r="D71" s="32">
        <f>'[1]cashflow.'!D65</f>
        <v>24215.425580000003</v>
      </c>
      <c r="E71" s="28"/>
      <c r="F71" s="29" t="s">
        <v>24</v>
      </c>
    </row>
    <row r="72" spans="1:6" ht="14.25">
      <c r="A72" s="12" t="s">
        <v>82</v>
      </c>
      <c r="B72" s="12"/>
      <c r="C72" s="12"/>
      <c r="D72" s="32">
        <f>'[1]cashflow.'!D66</f>
        <v>3321.387730000001</v>
      </c>
      <c r="E72" s="28"/>
      <c r="F72" s="29" t="s">
        <v>24</v>
      </c>
    </row>
    <row r="73" spans="1:6" ht="12.75">
      <c r="A73" s="12" t="s">
        <v>83</v>
      </c>
      <c r="B73" s="12"/>
      <c r="C73" s="12"/>
      <c r="D73" s="32">
        <f>'[1]cashflow.'!D67</f>
        <v>-5084</v>
      </c>
      <c r="F73" s="29" t="s">
        <v>24</v>
      </c>
    </row>
    <row r="74" spans="1:6" ht="12.75">
      <c r="A74" s="44" t="s">
        <v>93</v>
      </c>
      <c r="B74" s="47"/>
      <c r="C74" s="12"/>
      <c r="D74" s="32">
        <f>'[1]cashflow.'!$D$69</f>
        <v>-8027.46</v>
      </c>
      <c r="F74" s="29" t="s">
        <v>24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24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94</v>
      </c>
    </row>
    <row r="80" ht="12.75">
      <c r="A80" s="43" t="s">
        <v>52</v>
      </c>
    </row>
    <row r="81" ht="12.75">
      <c r="A81" s="43" t="s">
        <v>95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statement'!B1</f>
        <v>HANDAL RESOURCES  BERHAD (816839-X)</v>
      </c>
    </row>
    <row r="3" ht="12.75">
      <c r="B3" s="2" t="s">
        <v>17</v>
      </c>
    </row>
    <row r="4" spans="21:33" ht="12.75">
      <c r="U4" t="s">
        <v>14</v>
      </c>
      <c r="V4" t="s">
        <v>15</v>
      </c>
      <c r="X4" t="s">
        <v>16</v>
      </c>
      <c r="Y4" t="s">
        <v>15</v>
      </c>
      <c r="AC4" t="s">
        <v>3</v>
      </c>
      <c r="AD4" t="s">
        <v>3</v>
      </c>
      <c r="AF4" t="s">
        <v>3</v>
      </c>
      <c r="AG4" t="s">
        <v>3</v>
      </c>
    </row>
    <row r="5" ht="13.5" thickBot="1"/>
    <row r="6" spans="3:8" ht="13.5" thickBot="1">
      <c r="C6" s="446" t="s">
        <v>18</v>
      </c>
      <c r="D6" s="447"/>
      <c r="E6" s="446" t="s">
        <v>19</v>
      </c>
      <c r="F6" s="447"/>
      <c r="H6" s="7"/>
    </row>
    <row r="7" spans="3:6" ht="12.75">
      <c r="C7" s="448" t="s">
        <v>20</v>
      </c>
      <c r="D7" s="448" t="s">
        <v>21</v>
      </c>
      <c r="E7" s="448" t="s">
        <v>23</v>
      </c>
      <c r="F7" s="448" t="s">
        <v>22</v>
      </c>
    </row>
    <row r="8" spans="3:6" ht="12.75">
      <c r="C8" s="448"/>
      <c r="D8" s="448"/>
      <c r="E8" s="448"/>
      <c r="F8" s="448"/>
    </row>
    <row r="9" spans="3:6" ht="12.75">
      <c r="C9" s="448"/>
      <c r="D9" s="448"/>
      <c r="E9" s="448"/>
      <c r="F9" s="448"/>
    </row>
    <row r="10" spans="3:6" ht="12.75">
      <c r="C10" s="5" t="e">
        <f>+'Income statement'!#REF!</f>
        <v>#REF!</v>
      </c>
      <c r="D10" s="5" t="e">
        <f>+'Income statement'!#REF!</f>
        <v>#REF!</v>
      </c>
      <c r="E10" s="5" t="e">
        <f>+C10</f>
        <v>#REF!</v>
      </c>
      <c r="F10" s="5" t="e">
        <f>+D10</f>
        <v>#REF!</v>
      </c>
    </row>
    <row r="11" spans="3:6" ht="12.75">
      <c r="C11" s="5"/>
      <c r="D11" s="5"/>
      <c r="E11" s="5"/>
      <c r="F11" s="5"/>
    </row>
    <row r="12" spans="3:6" ht="12.75">
      <c r="C12" s="5" t="s">
        <v>3</v>
      </c>
      <c r="D12" s="5" t="s">
        <v>3</v>
      </c>
      <c r="E12" s="5" t="s">
        <v>3</v>
      </c>
      <c r="F12" s="5" t="s">
        <v>3</v>
      </c>
    </row>
    <row r="14" spans="1:6" ht="12.75">
      <c r="A14" s="1">
        <v>1</v>
      </c>
      <c r="B14" t="s">
        <v>1</v>
      </c>
      <c r="C14" s="9" t="e">
        <f>+'Income statement'!#REF!</f>
        <v>#REF!</v>
      </c>
      <c r="D14" s="9" t="e">
        <f>+'Income statement'!#REF!</f>
        <v>#REF!</v>
      </c>
      <c r="E14" s="9">
        <f>+'Income statement'!M16</f>
        <v>73576.12082999999</v>
      </c>
      <c r="F14" s="9">
        <f>+'Income statement'!N16</f>
        <v>73948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42</v>
      </c>
      <c r="C16" s="9" t="e">
        <f>+'Income statement'!#REF!</f>
        <v>#REF!</v>
      </c>
      <c r="D16" s="9" t="e">
        <f>+'Income statement'!#REF!</f>
        <v>#REF!</v>
      </c>
      <c r="E16" s="9">
        <f>+'Income statement'!M30</f>
        <v>6007.7726999999795</v>
      </c>
      <c r="F16" s="9">
        <f>+'Income statement'!N30</f>
        <v>6673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444" t="s">
        <v>49</v>
      </c>
      <c r="C18" s="9" t="e">
        <f>+'Income statement'!#REF!</f>
        <v>#REF!</v>
      </c>
      <c r="D18" s="9" t="e">
        <f>+'Income statement'!#REF!</f>
        <v>#REF!</v>
      </c>
      <c r="E18" s="9" t="e">
        <f>+'Income statement'!#REF!</f>
        <v>#REF!</v>
      </c>
      <c r="F18" s="9" t="e">
        <f>+'Income statement'!#REF!</f>
        <v>#REF!</v>
      </c>
    </row>
    <row r="19" spans="1:6" ht="12.75">
      <c r="A19" s="1"/>
      <c r="B19" s="444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45</v>
      </c>
      <c r="C21" s="9" t="e">
        <f>+'Income statement'!#REF!</f>
        <v>#REF!</v>
      </c>
      <c r="D21" s="9" t="e">
        <f>+'Income statement'!#REF!</f>
        <v>#REF!</v>
      </c>
      <c r="E21" s="9" t="e">
        <f>+'Income statement'!#REF!</f>
        <v>#REF!</v>
      </c>
      <c r="F21" s="9" t="e">
        <f>+'Income statement'!#REF!</f>
        <v>#REF!</v>
      </c>
    </row>
    <row r="22" spans="1:6" ht="12.75">
      <c r="A22" s="1"/>
      <c r="B22" t="s">
        <v>46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43</v>
      </c>
      <c r="C24" s="10" t="e">
        <f>+C18/43560*100</f>
        <v>#REF!</v>
      </c>
      <c r="D24" s="10" t="e">
        <f>+D21/43560*100</f>
        <v>#REF!</v>
      </c>
      <c r="E24" s="10" t="e">
        <f>+E18/43560*100</f>
        <v>#REF!</v>
      </c>
      <c r="F24" s="10" t="e">
        <f>+F21/43560*100</f>
        <v>#REF!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47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27</v>
      </c>
      <c r="F30" s="4" t="s">
        <v>29</v>
      </c>
    </row>
    <row r="31" spans="3:6" ht="12.75">
      <c r="C31" s="9"/>
      <c r="D31" s="9"/>
      <c r="E31" s="4" t="s">
        <v>28</v>
      </c>
      <c r="F31" s="4" t="s">
        <v>30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445" t="s">
        <v>48</v>
      </c>
      <c r="C33" s="9"/>
      <c r="D33" s="9"/>
      <c r="E33" s="10">
        <f>+'balance sheet'!C68</f>
        <v>0.6427491294333333</v>
      </c>
      <c r="F33" s="10" t="e">
        <f>+'balance sheet'!#REF!</f>
        <v>#REF!</v>
      </c>
    </row>
    <row r="34" spans="2:6" ht="12.75">
      <c r="B34" s="445"/>
      <c r="C34" s="9"/>
      <c r="D34" s="9"/>
      <c r="E34" s="9"/>
      <c r="F34" s="9"/>
    </row>
    <row r="35" spans="2:6" ht="12.75">
      <c r="B35" s="445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94"/>
  <sheetViews>
    <sheetView zoomScalePageLayoutView="0" workbookViewId="0" topLeftCell="A64">
      <selection activeCell="D99" sqref="D99"/>
    </sheetView>
  </sheetViews>
  <sheetFormatPr defaultColWidth="9.140625" defaultRowHeight="12.75"/>
  <cols>
    <col min="2" max="2" width="52.7109375" style="0" customWidth="1"/>
    <col min="3" max="3" width="9.140625" style="145" customWidth="1"/>
    <col min="4" max="4" width="17.8515625" style="145" customWidth="1"/>
    <col min="5" max="5" width="11.00390625" style="0" customWidth="1"/>
  </cols>
  <sheetData>
    <row r="1" ht="15">
      <c r="B1" s="16" t="s">
        <v>167</v>
      </c>
    </row>
    <row r="2" ht="15">
      <c r="B2" s="16" t="s">
        <v>168</v>
      </c>
    </row>
    <row r="3" ht="15">
      <c r="B3" s="16" t="s">
        <v>169</v>
      </c>
    </row>
    <row r="4" ht="15">
      <c r="B4" s="16"/>
    </row>
    <row r="5" ht="15">
      <c r="B5" s="16" t="s">
        <v>170</v>
      </c>
    </row>
    <row r="6" ht="15">
      <c r="B6" s="16" t="s">
        <v>171</v>
      </c>
    </row>
    <row r="7" ht="14.25">
      <c r="B7" s="142"/>
    </row>
    <row r="8" spans="2:4" ht="15">
      <c r="B8" s="24"/>
      <c r="C8" s="17" t="s">
        <v>172</v>
      </c>
      <c r="D8" s="17">
        <v>2009</v>
      </c>
    </row>
    <row r="9" spans="2:4" ht="15">
      <c r="B9" s="24"/>
      <c r="C9" s="17"/>
      <c r="D9" s="17" t="s">
        <v>173</v>
      </c>
    </row>
    <row r="10" spans="2:4" ht="14.25">
      <c r="B10" s="20"/>
      <c r="C10" s="19"/>
      <c r="D10" s="19"/>
    </row>
    <row r="11" spans="2:4" ht="14.25">
      <c r="B11" s="20" t="s">
        <v>63</v>
      </c>
      <c r="C11" s="19"/>
      <c r="D11" s="19"/>
    </row>
    <row r="12" spans="2:4" ht="14.25">
      <c r="B12" s="20" t="s">
        <v>2</v>
      </c>
      <c r="C12" s="19"/>
      <c r="D12" s="147">
        <v>13768765</v>
      </c>
    </row>
    <row r="13" spans="2:4" ht="14.25">
      <c r="B13" s="20"/>
      <c r="C13" s="19"/>
      <c r="D13" s="19"/>
    </row>
    <row r="14" spans="2:4" ht="14.25">
      <c r="B14" s="20" t="s">
        <v>7</v>
      </c>
      <c r="C14" s="19"/>
      <c r="D14" s="19"/>
    </row>
    <row r="15" spans="2:4" ht="14.25">
      <c r="B15" s="20"/>
      <c r="C15" s="19"/>
      <c r="D15" s="19"/>
    </row>
    <row r="16" spans="2:4" ht="14.25">
      <c r="B16" s="20" t="s">
        <v>64</v>
      </c>
      <c r="C16" s="19"/>
      <c r="D16" s="147">
        <v>1410509</v>
      </c>
    </row>
    <row r="17" spans="2:4" ht="14.25">
      <c r="B17" s="20" t="s">
        <v>65</v>
      </c>
      <c r="C17" s="19"/>
      <c r="D17" s="147">
        <v>968612</v>
      </c>
    </row>
    <row r="18" spans="2:4" ht="14.25">
      <c r="B18" s="20" t="s">
        <v>174</v>
      </c>
      <c r="C18" s="19"/>
      <c r="D18" s="147">
        <v>48152</v>
      </c>
    </row>
    <row r="19" spans="2:4" ht="14.25">
      <c r="B19" s="20" t="s">
        <v>66</v>
      </c>
      <c r="C19" s="19"/>
      <c r="D19" s="147">
        <v>29548</v>
      </c>
    </row>
    <row r="20" spans="2:4" ht="14.25">
      <c r="B20" s="20" t="s">
        <v>175</v>
      </c>
      <c r="C20" s="19"/>
      <c r="D20" s="147">
        <v>-38068</v>
      </c>
    </row>
    <row r="21" spans="2:4" ht="14.25">
      <c r="B21" s="20" t="s">
        <v>67</v>
      </c>
      <c r="C21" s="19"/>
      <c r="D21" s="147">
        <v>-381336</v>
      </c>
    </row>
    <row r="22" spans="2:5" ht="15" thickBot="1">
      <c r="B22" s="20" t="s">
        <v>176</v>
      </c>
      <c r="C22" s="19"/>
      <c r="D22" s="148">
        <v>-1123129</v>
      </c>
      <c r="E22" s="7">
        <f>SUM(D16:D22)</f>
        <v>914288</v>
      </c>
    </row>
    <row r="23" spans="2:4" ht="14.25">
      <c r="B23" s="20"/>
      <c r="C23" s="19"/>
      <c r="D23" s="19"/>
    </row>
    <row r="24" spans="2:4" ht="14.25">
      <c r="B24" s="20" t="s">
        <v>8</v>
      </c>
      <c r="C24" s="19"/>
      <c r="D24" s="147">
        <v>14683053</v>
      </c>
    </row>
    <row r="25" spans="2:4" ht="14.25">
      <c r="B25" s="20"/>
      <c r="C25" s="19"/>
      <c r="D25" s="19"/>
    </row>
    <row r="26" spans="2:4" ht="14.25">
      <c r="B26" s="24" t="s">
        <v>177</v>
      </c>
      <c r="C26" s="19"/>
      <c r="D26" s="147">
        <v>1005378</v>
      </c>
    </row>
    <row r="27" spans="2:4" ht="14.25">
      <c r="B27" s="24" t="s">
        <v>178</v>
      </c>
      <c r="C27" s="19"/>
      <c r="D27" s="147">
        <v>2638376</v>
      </c>
    </row>
    <row r="28" spans="2:4" ht="14.25">
      <c r="B28" s="20" t="s">
        <v>138</v>
      </c>
      <c r="C28" s="19"/>
      <c r="D28" s="147">
        <v>-3186200</v>
      </c>
    </row>
    <row r="29" spans="2:4" ht="28.5">
      <c r="B29" s="20" t="s">
        <v>179</v>
      </c>
      <c r="C29" s="19"/>
      <c r="D29" s="147">
        <v>-1774921</v>
      </c>
    </row>
    <row r="30" spans="2:4" ht="28.5">
      <c r="B30" s="20" t="s">
        <v>128</v>
      </c>
      <c r="C30" s="19"/>
      <c r="D30" s="147">
        <v>1373389</v>
      </c>
    </row>
    <row r="31" spans="2:4" ht="14.25">
      <c r="B31" s="20" t="s">
        <v>69</v>
      </c>
      <c r="C31" s="19"/>
      <c r="D31" s="147">
        <v>189777</v>
      </c>
    </row>
    <row r="32" spans="2:4" ht="15" thickBot="1">
      <c r="B32" s="20" t="s">
        <v>129</v>
      </c>
      <c r="C32" s="19"/>
      <c r="D32" s="148">
        <v>-271731</v>
      </c>
    </row>
    <row r="33" spans="2:4" ht="14.25">
      <c r="B33" s="24"/>
      <c r="C33" s="19"/>
      <c r="D33" s="19"/>
    </row>
    <row r="34" spans="2:4" ht="14.25">
      <c r="B34" s="24" t="s">
        <v>180</v>
      </c>
      <c r="C34" s="19"/>
      <c r="D34" s="147">
        <v>14657121</v>
      </c>
    </row>
    <row r="35" spans="2:4" ht="14.25">
      <c r="B35" s="24"/>
      <c r="C35" s="19"/>
      <c r="D35" s="19"/>
    </row>
    <row r="36" spans="2:4" ht="14.25">
      <c r="B36" s="18" t="s">
        <v>9</v>
      </c>
      <c r="C36" s="19"/>
      <c r="D36" s="147">
        <v>-134101</v>
      </c>
    </row>
    <row r="37" spans="2:4" ht="15" thickBot="1">
      <c r="B37" s="18" t="s">
        <v>70</v>
      </c>
      <c r="C37" s="19"/>
      <c r="D37" s="148">
        <v>-3491456</v>
      </c>
    </row>
    <row r="38" spans="2:4" ht="14.25">
      <c r="B38" s="18"/>
      <c r="C38" s="19"/>
      <c r="D38" s="19"/>
    </row>
    <row r="39" spans="2:4" ht="15" thickBot="1">
      <c r="B39" s="18" t="s">
        <v>44</v>
      </c>
      <c r="C39" s="19"/>
      <c r="D39" s="148">
        <v>11031564</v>
      </c>
    </row>
    <row r="40" spans="2:4" ht="14.25">
      <c r="B40" s="18"/>
      <c r="C40" s="19"/>
      <c r="D40" s="19"/>
    </row>
    <row r="41" spans="2:4" ht="15">
      <c r="B41" s="18" t="s">
        <v>71</v>
      </c>
      <c r="C41" s="19"/>
      <c r="D41" s="17"/>
    </row>
    <row r="42" spans="2:4" ht="14.25">
      <c r="B42" s="18" t="s">
        <v>181</v>
      </c>
      <c r="C42" s="19"/>
      <c r="D42" s="19"/>
    </row>
    <row r="43" spans="2:4" ht="14.25">
      <c r="B43" s="18" t="s">
        <v>182</v>
      </c>
      <c r="C43" s="19">
        <v>17</v>
      </c>
      <c r="D43" s="147">
        <v>15479479</v>
      </c>
    </row>
    <row r="44" spans="2:4" ht="14.25">
      <c r="B44" s="18" t="s">
        <v>183</v>
      </c>
      <c r="C44" s="19"/>
      <c r="D44" s="147">
        <v>381336</v>
      </c>
    </row>
    <row r="45" spans="2:4" ht="14.25">
      <c r="B45" s="18" t="s">
        <v>184</v>
      </c>
      <c r="C45" s="19"/>
      <c r="D45" s="147">
        <v>38068</v>
      </c>
    </row>
    <row r="46" spans="2:4" ht="14.25">
      <c r="B46" s="18" t="s">
        <v>90</v>
      </c>
      <c r="C46" s="19"/>
      <c r="D46" s="147">
        <v>-500682</v>
      </c>
    </row>
    <row r="47" spans="2:4" ht="15" thickBot="1">
      <c r="B47" s="18" t="s">
        <v>73</v>
      </c>
      <c r="C47" s="19">
        <v>25</v>
      </c>
      <c r="D47" s="147">
        <v>-11636454</v>
      </c>
    </row>
    <row r="48" spans="2:4" ht="15">
      <c r="B48" s="18"/>
      <c r="C48" s="19"/>
      <c r="D48" s="149"/>
    </row>
    <row r="49" spans="2:4" ht="15" thickBot="1">
      <c r="B49" s="18" t="s">
        <v>185</v>
      </c>
      <c r="C49" s="19"/>
      <c r="D49" s="148">
        <v>3761747</v>
      </c>
    </row>
    <row r="50" spans="2:4" ht="12.75">
      <c r="B50" s="143"/>
      <c r="C50" s="146"/>
      <c r="D50" s="146"/>
    </row>
    <row r="51" spans="2:5" ht="15">
      <c r="B51" s="20"/>
      <c r="C51" s="19"/>
      <c r="D51" s="17"/>
      <c r="E51" s="144"/>
    </row>
    <row r="52" spans="2:5" ht="15">
      <c r="B52" s="20" t="s">
        <v>75</v>
      </c>
      <c r="C52" s="19"/>
      <c r="D52" s="17"/>
      <c r="E52" s="144"/>
    </row>
    <row r="53" spans="2:5" ht="15">
      <c r="B53" s="20" t="s">
        <v>186</v>
      </c>
      <c r="C53" s="19"/>
      <c r="D53" s="147">
        <v>13320000</v>
      </c>
      <c r="E53" s="144"/>
    </row>
    <row r="54" spans="2:5" ht="15">
      <c r="B54" s="20" t="s">
        <v>187</v>
      </c>
      <c r="C54" s="19"/>
      <c r="D54" s="147">
        <v>1785884</v>
      </c>
      <c r="E54" s="144"/>
    </row>
    <row r="55" spans="2:5" ht="15">
      <c r="B55" s="20" t="s">
        <v>76</v>
      </c>
      <c r="C55" s="19"/>
      <c r="D55" s="147">
        <v>-9886</v>
      </c>
      <c r="E55" s="144"/>
    </row>
    <row r="56" spans="2:5" ht="15">
      <c r="B56" s="20" t="s">
        <v>188</v>
      </c>
      <c r="C56" s="19"/>
      <c r="D56" s="147">
        <v>-26016</v>
      </c>
      <c r="E56" s="144"/>
    </row>
    <row r="57" spans="2:5" ht="15">
      <c r="B57" s="20" t="s">
        <v>77</v>
      </c>
      <c r="C57" s="19"/>
      <c r="D57" s="147">
        <v>-63273</v>
      </c>
      <c r="E57" s="144"/>
    </row>
    <row r="58" spans="2:5" ht="15">
      <c r="B58" s="20" t="s">
        <v>189</v>
      </c>
      <c r="C58" s="19"/>
      <c r="D58" s="147">
        <v>-666770</v>
      </c>
      <c r="E58" s="144"/>
    </row>
    <row r="59" spans="2:5" ht="15">
      <c r="B59" s="20" t="s">
        <v>190</v>
      </c>
      <c r="C59" s="19"/>
      <c r="D59" s="147">
        <v>-2520424</v>
      </c>
      <c r="E59" s="144"/>
    </row>
    <row r="60" spans="2:5" ht="15">
      <c r="B60" s="20" t="s">
        <v>191</v>
      </c>
      <c r="C60" s="19"/>
      <c r="D60" s="147">
        <v>-2812839</v>
      </c>
      <c r="E60" s="144"/>
    </row>
    <row r="61" spans="2:5" ht="15.75" thickBot="1">
      <c r="B61" s="20" t="s">
        <v>192</v>
      </c>
      <c r="C61" s="19"/>
      <c r="D61" s="148">
        <v>-5000000</v>
      </c>
      <c r="E61" s="144"/>
    </row>
    <row r="62" spans="2:5" ht="15">
      <c r="B62" s="20"/>
      <c r="C62" s="19"/>
      <c r="D62" s="19"/>
      <c r="E62" s="144"/>
    </row>
    <row r="63" spans="2:5" ht="15.75" thickBot="1">
      <c r="B63" s="20" t="s">
        <v>193</v>
      </c>
      <c r="C63" s="19"/>
      <c r="D63" s="148">
        <v>4006676</v>
      </c>
      <c r="E63" s="144"/>
    </row>
    <row r="64" spans="2:5" ht="15">
      <c r="B64" s="20"/>
      <c r="C64" s="19"/>
      <c r="D64" s="17"/>
      <c r="E64" s="144"/>
    </row>
    <row r="65" spans="2:5" ht="14.25">
      <c r="B65" s="20" t="s">
        <v>194</v>
      </c>
      <c r="C65" s="19"/>
      <c r="D65" s="147">
        <v>18799987</v>
      </c>
      <c r="E65" s="24"/>
    </row>
    <row r="66" spans="2:5" ht="15">
      <c r="B66" s="20"/>
      <c r="C66" s="19"/>
      <c r="D66" s="19"/>
      <c r="E66" s="144"/>
    </row>
    <row r="67" spans="2:5" ht="28.5">
      <c r="B67" s="20" t="s">
        <v>195</v>
      </c>
      <c r="C67" s="19"/>
      <c r="D67" s="19"/>
      <c r="E67" s="144"/>
    </row>
    <row r="68" spans="2:5" ht="15.75" thickBot="1">
      <c r="B68" s="20"/>
      <c r="C68" s="19"/>
      <c r="D68" s="150">
        <v>2</v>
      </c>
      <c r="E68" s="144"/>
    </row>
    <row r="69" spans="2:5" ht="15">
      <c r="B69" s="20"/>
      <c r="C69" s="19"/>
      <c r="D69" s="19"/>
      <c r="E69" s="144"/>
    </row>
    <row r="70" spans="2:5" ht="15.75" thickBot="1">
      <c r="B70" s="20" t="s">
        <v>196</v>
      </c>
      <c r="C70" s="19">
        <v>26</v>
      </c>
      <c r="D70" s="151">
        <v>18799989</v>
      </c>
      <c r="E70" s="144"/>
    </row>
    <row r="71" spans="2:5" ht="13.5" thickTop="1">
      <c r="B71" s="143"/>
      <c r="C71" s="146"/>
      <c r="D71" s="146"/>
      <c r="E71" s="143"/>
    </row>
    <row r="72" ht="14.25">
      <c r="B72" s="60"/>
    </row>
    <row r="73" ht="14.25">
      <c r="B73" s="51"/>
    </row>
    <row r="74" ht="14.25">
      <c r="B74" s="51"/>
    </row>
    <row r="75" spans="2:4" ht="15">
      <c r="B75" s="153" t="s">
        <v>206</v>
      </c>
      <c r="C75"/>
      <c r="D75"/>
    </row>
    <row r="76" spans="2:4" ht="14.25">
      <c r="B76" s="142"/>
      <c r="C76"/>
      <c r="D76"/>
    </row>
    <row r="77" spans="2:4" ht="42.75">
      <c r="B77" s="142" t="s">
        <v>197</v>
      </c>
      <c r="C77"/>
      <c r="D77"/>
    </row>
    <row r="78" spans="2:4" ht="14.25">
      <c r="B78" s="142"/>
      <c r="C78"/>
      <c r="D78"/>
    </row>
    <row r="79" spans="2:7" ht="15.75" thickBot="1">
      <c r="B79" s="25"/>
      <c r="D79" s="154" t="s">
        <v>198</v>
      </c>
      <c r="E79" s="155"/>
      <c r="F79" s="449"/>
      <c r="G79" s="449"/>
    </row>
    <row r="80" spans="2:7" ht="15">
      <c r="B80" s="25"/>
      <c r="D80" s="17">
        <v>2009</v>
      </c>
      <c r="E80" s="155"/>
      <c r="F80" s="156"/>
      <c r="G80" s="155"/>
    </row>
    <row r="81" spans="2:7" ht="15">
      <c r="B81" s="20"/>
      <c r="D81" s="17" t="s">
        <v>173</v>
      </c>
      <c r="E81" s="155"/>
      <c r="F81" s="156"/>
      <c r="G81" s="155"/>
    </row>
    <row r="82" spans="2:7" ht="15">
      <c r="B82" s="20"/>
      <c r="D82" s="17"/>
      <c r="E82" s="155"/>
      <c r="F82" s="156"/>
      <c r="G82" s="156"/>
    </row>
    <row r="83" spans="2:7" ht="14.25">
      <c r="B83" s="20" t="s">
        <v>199</v>
      </c>
      <c r="D83" s="147">
        <v>8538068</v>
      </c>
      <c r="E83" s="157"/>
      <c r="F83" s="158"/>
      <c r="G83" s="158"/>
    </row>
    <row r="84" spans="2:7" ht="15">
      <c r="B84" s="20" t="s">
        <v>200</v>
      </c>
      <c r="D84" s="17"/>
      <c r="E84" s="155"/>
      <c r="F84" s="156"/>
      <c r="G84" s="156"/>
    </row>
    <row r="85" spans="2:7" ht="14.25">
      <c r="B85" s="20" t="s">
        <v>201</v>
      </c>
      <c r="D85" s="147">
        <v>19711108</v>
      </c>
      <c r="E85" s="158"/>
      <c r="F85" s="159"/>
      <c r="G85" s="158"/>
    </row>
    <row r="86" spans="2:7" ht="14.25">
      <c r="B86" s="20" t="s">
        <v>202</v>
      </c>
      <c r="D86" s="147">
        <v>3199333</v>
      </c>
      <c r="E86" s="157"/>
      <c r="F86" s="159"/>
      <c r="G86" s="158"/>
    </row>
    <row r="87" spans="2:7" ht="15" thickBot="1">
      <c r="B87" s="20" t="s">
        <v>203</v>
      </c>
      <c r="D87" s="148">
        <v>-3959186</v>
      </c>
      <c r="E87" s="158"/>
      <c r="F87" s="159"/>
      <c r="G87" s="158"/>
    </row>
    <row r="88" spans="2:7" ht="14.25">
      <c r="B88" s="20"/>
      <c r="D88" s="19"/>
      <c r="E88" s="158"/>
      <c r="F88" s="159"/>
      <c r="G88" s="158"/>
    </row>
    <row r="89" spans="2:7" ht="14.25">
      <c r="B89" s="20"/>
      <c r="D89" s="147">
        <v>27489323</v>
      </c>
      <c r="E89" s="157"/>
      <c r="F89" s="159"/>
      <c r="G89" s="158"/>
    </row>
    <row r="90" spans="2:7" ht="15">
      <c r="B90" s="20" t="s">
        <v>204</v>
      </c>
      <c r="D90" s="17"/>
      <c r="E90" s="155"/>
      <c r="F90" s="156"/>
      <c r="G90" s="155"/>
    </row>
    <row r="91" spans="2:7" ht="15" thickBot="1">
      <c r="B91" s="20" t="s">
        <v>205</v>
      </c>
      <c r="D91" s="148">
        <v>-8689334</v>
      </c>
      <c r="E91" s="160"/>
      <c r="F91" s="160"/>
      <c r="G91" s="158"/>
    </row>
    <row r="92" spans="2:7" ht="14.25">
      <c r="B92" s="20"/>
      <c r="D92" s="19"/>
      <c r="E92" s="160"/>
      <c r="F92" s="160"/>
      <c r="G92" s="158"/>
    </row>
    <row r="93" spans="2:7" ht="15" thickBot="1">
      <c r="B93" s="20"/>
      <c r="D93" s="151">
        <v>18799989</v>
      </c>
      <c r="E93" s="161"/>
      <c r="F93" s="160"/>
      <c r="G93" s="158"/>
    </row>
    <row r="94" spans="2:4" ht="15" thickTop="1">
      <c r="B94" s="142"/>
      <c r="C94"/>
      <c r="D94"/>
    </row>
  </sheetData>
  <sheetProtection/>
  <mergeCells count="1">
    <mergeCell ref="F79:G79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5"/>
  <sheetViews>
    <sheetView tabSelected="1" zoomScalePageLayoutView="0" workbookViewId="0" topLeftCell="A26">
      <selection activeCell="D39" sqref="D39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203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statement'!B1</f>
        <v>HANDAL RESOURCES  BERHAD (816839-X)</v>
      </c>
    </row>
    <row r="3" spans="2:7" s="51" customFormat="1" ht="15">
      <c r="B3" s="16" t="s">
        <v>87</v>
      </c>
      <c r="G3" s="180"/>
    </row>
    <row r="4" spans="2:10" s="51" customFormat="1" ht="15" customHeight="1">
      <c r="B4" s="16" t="s">
        <v>291</v>
      </c>
      <c r="E4" s="39"/>
      <c r="F4" s="39"/>
      <c r="G4" s="231"/>
      <c r="H4" s="39"/>
      <c r="I4" s="39"/>
      <c r="J4" s="39"/>
    </row>
    <row r="5" spans="2:10" s="51" customFormat="1" ht="15" customHeight="1">
      <c r="B5" s="16"/>
      <c r="E5" s="436" t="s">
        <v>207</v>
      </c>
      <c r="F5" s="56"/>
      <c r="G5" s="436" t="s">
        <v>290</v>
      </c>
      <c r="I5" s="436" t="s">
        <v>289</v>
      </c>
      <c r="J5" s="436" t="s">
        <v>208</v>
      </c>
    </row>
    <row r="6" spans="2:10" s="51" customFormat="1" ht="15" customHeight="1">
      <c r="B6" s="16"/>
      <c r="E6" s="436"/>
      <c r="F6" s="56"/>
      <c r="G6" s="436"/>
      <c r="I6" s="450"/>
      <c r="J6" s="450"/>
    </row>
    <row r="7" spans="2:10" s="51" customFormat="1" ht="15" customHeight="1">
      <c r="B7" s="16"/>
      <c r="E7" s="436"/>
      <c r="F7" s="56"/>
      <c r="G7" s="436"/>
      <c r="I7" s="450"/>
      <c r="J7" s="450"/>
    </row>
    <row r="8" spans="2:10" s="51" customFormat="1" ht="45" customHeight="1">
      <c r="B8" s="16"/>
      <c r="E8" s="436"/>
      <c r="F8" s="56"/>
      <c r="G8" s="436"/>
      <c r="I8" s="450"/>
      <c r="J8" s="450"/>
    </row>
    <row r="9" spans="2:10" s="51" customFormat="1" ht="15" customHeight="1">
      <c r="B9" s="16"/>
      <c r="E9" s="58" t="s">
        <v>3</v>
      </c>
      <c r="F9" s="58"/>
      <c r="G9" s="182" t="s">
        <v>3</v>
      </c>
      <c r="I9" s="178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180"/>
      <c r="H10" s="16"/>
      <c r="I10" s="16"/>
      <c r="J10" s="17"/>
    </row>
    <row r="11" spans="2:10" s="51" customFormat="1" ht="12.75" customHeight="1">
      <c r="B11" s="15" t="s">
        <v>63</v>
      </c>
      <c r="C11" s="15"/>
      <c r="D11" s="15"/>
      <c r="E11" s="15"/>
      <c r="F11" s="15"/>
      <c r="G11" s="275"/>
      <c r="H11" s="15"/>
      <c r="I11" s="15"/>
      <c r="J11" s="19"/>
    </row>
    <row r="12" spans="2:10" s="51" customFormat="1" ht="12.75" customHeight="1">
      <c r="B12" s="15"/>
      <c r="C12" s="15"/>
      <c r="D12" s="15"/>
      <c r="E12" s="15"/>
      <c r="F12" s="15"/>
      <c r="G12" s="275"/>
      <c r="H12" s="15"/>
      <c r="I12" s="15"/>
      <c r="J12" s="19"/>
    </row>
    <row r="13" spans="2:11" s="51" customFormat="1" ht="14.25">
      <c r="B13" s="20" t="s">
        <v>2</v>
      </c>
      <c r="C13" s="19"/>
      <c r="D13" s="19"/>
      <c r="E13" s="21">
        <f>'[4]cashflow.'!$U$8</f>
        <v>2912</v>
      </c>
      <c r="F13" s="21"/>
      <c r="G13" s="211">
        <f>'Income statement'!M30</f>
        <v>6007.7726999999795</v>
      </c>
      <c r="H13" s="249"/>
      <c r="I13" s="21">
        <v>6673</v>
      </c>
      <c r="J13" s="21">
        <f>'CF12.09'!D12/1000</f>
        <v>13768.765</v>
      </c>
      <c r="K13" s="174"/>
    </row>
    <row r="14" spans="2:11" s="51" customFormat="1" ht="14.25">
      <c r="B14" s="20"/>
      <c r="C14" s="19"/>
      <c r="D14" s="19"/>
      <c r="E14" s="21"/>
      <c r="F14" s="21"/>
      <c r="G14" s="211"/>
      <c r="H14" s="249"/>
      <c r="I14" s="21"/>
      <c r="J14" s="21"/>
      <c r="K14" s="174"/>
    </row>
    <row r="15" spans="2:11" s="51" customFormat="1" ht="15" thickBot="1">
      <c r="B15" s="188" t="s">
        <v>111</v>
      </c>
      <c r="C15" s="19"/>
      <c r="D15" s="19"/>
      <c r="E15" s="21" t="e">
        <f>'[4]cashflow.'!$V$17</f>
        <v>#REF!</v>
      </c>
      <c r="F15" s="21"/>
      <c r="G15" s="211">
        <f>'[11]Sheet1'!$N$28</f>
        <v>5656.530209999999</v>
      </c>
      <c r="H15" s="249"/>
      <c r="I15" s="22">
        <v>3947</v>
      </c>
      <c r="J15" s="22">
        <f>'CF12.09'!E22/1000</f>
        <v>914.288</v>
      </c>
      <c r="K15" s="174"/>
    </row>
    <row r="16" spans="2:11" s="51" customFormat="1" ht="14.25">
      <c r="B16" s="189"/>
      <c r="C16" s="19"/>
      <c r="D16" s="19"/>
      <c r="E16" s="23"/>
      <c r="F16" s="28"/>
      <c r="G16" s="212"/>
      <c r="H16" s="250"/>
      <c r="I16" s="28"/>
      <c r="J16" s="21"/>
      <c r="K16" s="174"/>
    </row>
    <row r="17" spans="2:11" s="51" customFormat="1" ht="15.75" customHeight="1">
      <c r="B17" s="188" t="s">
        <v>8</v>
      </c>
      <c r="C17" s="19"/>
      <c r="D17" s="19"/>
      <c r="E17" s="49">
        <f>'[4]cashflow.'!$U$21</f>
        <v>3906</v>
      </c>
      <c r="F17" s="49"/>
      <c r="G17" s="213">
        <f>SUM(G13:G15)</f>
        <v>11664.302909999979</v>
      </c>
      <c r="H17" s="249"/>
      <c r="I17" s="49">
        <f>SUM(I13:I15)</f>
        <v>10620</v>
      </c>
      <c r="J17" s="49">
        <f>'CF12.09'!D24/1000</f>
        <v>14683.053</v>
      </c>
      <c r="K17" s="174"/>
    </row>
    <row r="18" spans="2:15" s="51" customFormat="1" ht="14.25">
      <c r="B18" s="190"/>
      <c r="C18" s="24"/>
      <c r="D18" s="24"/>
      <c r="E18" s="21"/>
      <c r="F18" s="21"/>
      <c r="G18" s="211"/>
      <c r="H18" s="249"/>
      <c r="I18" s="21"/>
      <c r="J18" s="21"/>
      <c r="K18" s="185"/>
      <c r="L18" s="19"/>
      <c r="M18" s="19"/>
      <c r="N18" s="19"/>
      <c r="O18" s="19"/>
    </row>
    <row r="19" spans="2:12" s="51" customFormat="1" ht="14.25" customHeight="1" hidden="1">
      <c r="B19" s="41" t="s">
        <v>88</v>
      </c>
      <c r="C19" s="24"/>
      <c r="D19" s="24"/>
      <c r="E19" s="21">
        <f>'[1]cashflow.'!D22</f>
        <v>0</v>
      </c>
      <c r="F19" s="21"/>
      <c r="G19" s="211" t="e">
        <f>'[1]cashflow.'!F22</f>
        <v>#REF!</v>
      </c>
      <c r="H19" s="249"/>
      <c r="I19" s="21"/>
      <c r="J19" s="21" t="s">
        <v>24</v>
      </c>
      <c r="K19" s="185"/>
      <c r="L19" s="19"/>
    </row>
    <row r="20" spans="2:12" s="51" customFormat="1" ht="14.25" customHeight="1">
      <c r="B20" s="41" t="s">
        <v>227</v>
      </c>
      <c r="C20" s="24"/>
      <c r="D20" s="24"/>
      <c r="E20" s="21">
        <f>'[4]cashflow.'!$U$23</f>
        <v>312.60903000000053</v>
      </c>
      <c r="F20" s="21"/>
      <c r="G20" s="211">
        <f>'[11]Sheet1'!$C$31</f>
        <v>-3296.399660000001</v>
      </c>
      <c r="H20" s="249"/>
      <c r="I20" s="21">
        <v>-373</v>
      </c>
      <c r="J20" s="21">
        <f>'CF12.09'!D26/1000</f>
        <v>1005.378</v>
      </c>
      <c r="K20" s="185"/>
      <c r="L20" s="19"/>
    </row>
    <row r="21" spans="2:12" s="51" customFormat="1" ht="14.25" customHeight="1">
      <c r="B21" s="41" t="s">
        <v>228</v>
      </c>
      <c r="C21" s="24"/>
      <c r="D21" s="24"/>
      <c r="E21" s="21">
        <f>'[4]cashflow.'!$U$24</f>
        <v>-1741.777379999996</v>
      </c>
      <c r="F21" s="21"/>
      <c r="G21" s="211">
        <f>'[11]Sheet1'!$C$32</f>
        <v>-4411.807079999999</v>
      </c>
      <c r="H21" s="249"/>
      <c r="I21" s="21">
        <v>-11238</v>
      </c>
      <c r="J21" s="21">
        <f>'CF12.09'!D27/1000</f>
        <v>2638.376</v>
      </c>
      <c r="K21" s="185"/>
      <c r="L21" s="19"/>
    </row>
    <row r="22" spans="2:12" s="51" customFormat="1" ht="14.25" customHeight="1">
      <c r="B22" s="41" t="s">
        <v>233</v>
      </c>
      <c r="C22" s="24"/>
      <c r="D22" s="24"/>
      <c r="E22" s="21">
        <f>'[4]cashflow.'!$U$25</f>
        <v>-1991.7909599999984</v>
      </c>
      <c r="F22" s="21"/>
      <c r="G22" s="211">
        <f>'[11]Sheet1'!$C$33</f>
        <v>10783.41458000001</v>
      </c>
      <c r="H22" s="249"/>
      <c r="I22" s="21">
        <v>2013</v>
      </c>
      <c r="J22" s="21">
        <f>'CF12.09'!D28/1000</f>
        <v>-3186.2</v>
      </c>
      <c r="K22" s="185"/>
      <c r="L22" s="19"/>
    </row>
    <row r="23" spans="2:12" s="51" customFormat="1" ht="14.25" customHeight="1">
      <c r="B23" s="189" t="s">
        <v>229</v>
      </c>
      <c r="C23" s="24"/>
      <c r="D23" s="24"/>
      <c r="E23" s="21">
        <f>'[4]cashflow.'!$U$26</f>
        <v>770.346</v>
      </c>
      <c r="F23" s="21"/>
      <c r="G23" s="211">
        <f>'[11]Sheet1'!$C$35</f>
        <v>-1452.99633</v>
      </c>
      <c r="H23" s="249"/>
      <c r="I23" s="21">
        <v>-5054</v>
      </c>
      <c r="J23" s="21">
        <f>'CF12.09'!D29/1000</f>
        <v>-1774.921</v>
      </c>
      <c r="K23" s="185"/>
      <c r="L23" s="19"/>
    </row>
    <row r="24" spans="2:12" s="51" customFormat="1" ht="14.25" customHeight="1" hidden="1">
      <c r="B24" s="41" t="s">
        <v>230</v>
      </c>
      <c r="C24" s="20"/>
      <c r="D24" s="20"/>
      <c r="E24" s="21">
        <f>'[4]cashflow.'!$U$27</f>
        <v>8.91215000000011</v>
      </c>
      <c r="F24" s="21"/>
      <c r="G24" s="211">
        <v>0</v>
      </c>
      <c r="H24" s="249"/>
      <c r="I24" s="21">
        <v>0</v>
      </c>
      <c r="J24" s="21">
        <f>'CF12.09'!D30/1000</f>
        <v>1373.389</v>
      </c>
      <c r="K24" s="185"/>
      <c r="L24" s="19"/>
    </row>
    <row r="25" spans="2:12" s="51" customFormat="1" ht="14.25" customHeight="1">
      <c r="B25" s="41" t="s">
        <v>234</v>
      </c>
      <c r="C25" s="20"/>
      <c r="D25" s="20"/>
      <c r="E25" s="21">
        <f>'[4]cashflow.'!$U$28</f>
        <v>-230.72018999999818</v>
      </c>
      <c r="F25" s="21"/>
      <c r="G25" s="211">
        <f>'[11]Sheet1'!$C$36</f>
        <v>-7334.151029999999</v>
      </c>
      <c r="H25" s="249"/>
      <c r="I25" s="21">
        <v>3426</v>
      </c>
      <c r="J25" s="21">
        <f>'CF12.09'!D31/1000</f>
        <v>189.777</v>
      </c>
      <c r="K25" s="185"/>
      <c r="L25" s="19"/>
    </row>
    <row r="26" spans="2:12" s="51" customFormat="1" ht="14.25" customHeight="1" thickBot="1">
      <c r="B26" s="189" t="s">
        <v>232</v>
      </c>
      <c r="C26" s="20"/>
      <c r="D26" s="20"/>
      <c r="E26" s="21"/>
      <c r="F26" s="21"/>
      <c r="G26" s="214">
        <f>'[11]Sheet1'!$C$38</f>
        <v>-3995.1026399999996</v>
      </c>
      <c r="H26" s="249"/>
      <c r="I26" s="22">
        <v>-2620</v>
      </c>
      <c r="J26" s="21"/>
      <c r="K26" s="185"/>
      <c r="L26" s="19"/>
    </row>
    <row r="27" spans="2:12" s="51" customFormat="1" ht="15" hidden="1" thickBot="1">
      <c r="B27" s="40" t="s">
        <v>235</v>
      </c>
      <c r="C27" s="20"/>
      <c r="D27" s="20"/>
      <c r="E27" s="22">
        <f>'[4]cashflow.'!$U$29</f>
        <v>-780.1700500000002</v>
      </c>
      <c r="F27" s="28"/>
      <c r="G27" s="214">
        <v>0</v>
      </c>
      <c r="H27" s="250"/>
      <c r="I27" s="22">
        <v>0</v>
      </c>
      <c r="J27" s="22">
        <f>'CF12.09'!D32/1000</f>
        <v>-271.731</v>
      </c>
      <c r="K27" s="185"/>
      <c r="L27" s="19"/>
    </row>
    <row r="28" spans="2:12" s="51" customFormat="1" ht="14.25">
      <c r="B28" s="190"/>
      <c r="C28" s="24"/>
      <c r="D28" s="24"/>
      <c r="E28" s="21"/>
      <c r="F28" s="21"/>
      <c r="G28" s="211"/>
      <c r="H28" s="249"/>
      <c r="I28" s="21"/>
      <c r="J28" s="21"/>
      <c r="K28" s="185"/>
      <c r="L28" s="19"/>
    </row>
    <row r="29" spans="2:12" s="51" customFormat="1" ht="14.25" customHeight="1">
      <c r="B29" s="188" t="s">
        <v>401</v>
      </c>
      <c r="C29" s="20"/>
      <c r="D29" s="20"/>
      <c r="E29" s="49">
        <f>'[4]cashflow.'!$U$32</f>
        <v>254.40860000000794</v>
      </c>
      <c r="F29" s="49"/>
      <c r="G29" s="213">
        <f>SUM(G20:G28)+G17</f>
        <v>1957.2607499999904</v>
      </c>
      <c r="H29" s="249"/>
      <c r="I29" s="49">
        <f>SUM(I17:I27)</f>
        <v>-3226</v>
      </c>
      <c r="J29" s="49">
        <f>'CF12.09'!D34/1000</f>
        <v>14657.121</v>
      </c>
      <c r="K29" s="185"/>
      <c r="L29" s="19"/>
    </row>
    <row r="30" spans="2:12" s="51" customFormat="1" ht="14.25" customHeight="1">
      <c r="B30" s="188"/>
      <c r="C30" s="20"/>
      <c r="D30" s="20"/>
      <c r="E30" s="49"/>
      <c r="F30" s="49"/>
      <c r="G30" s="211"/>
      <c r="H30" s="249"/>
      <c r="I30" s="49"/>
      <c r="J30" s="49"/>
      <c r="K30" s="185"/>
      <c r="L30" s="19"/>
    </row>
    <row r="31" spans="2:12" s="51" customFormat="1" ht="14.25" customHeight="1">
      <c r="B31" s="45" t="s">
        <v>9</v>
      </c>
      <c r="C31" s="18"/>
      <c r="D31" s="18"/>
      <c r="E31" s="21">
        <f>'[4]cashflow.'!$R$34</f>
        <v>-43</v>
      </c>
      <c r="F31" s="21"/>
      <c r="G31" s="211">
        <f>'[11]Sheet1'!$C$41</f>
        <v>-579.6606800000001</v>
      </c>
      <c r="H31" s="249"/>
      <c r="I31" s="21">
        <v>-417</v>
      </c>
      <c r="J31" s="21">
        <f>'CF12.09'!D36/1000</f>
        <v>-134.101</v>
      </c>
      <c r="K31" s="185"/>
      <c r="L31" s="19"/>
    </row>
    <row r="32" spans="2:12" s="51" customFormat="1" ht="14.25">
      <c r="B32" s="45" t="s">
        <v>70</v>
      </c>
      <c r="C32" s="18"/>
      <c r="D32" s="18"/>
      <c r="E32" s="21">
        <f>'[4]cashflow.'!$R$35</f>
        <v>-832</v>
      </c>
      <c r="F32" s="21"/>
      <c r="G32" s="211">
        <f>'[11]Sheet1'!$C$42+1</f>
        <v>-2013</v>
      </c>
      <c r="H32" s="250"/>
      <c r="I32" s="28">
        <v>-1382</v>
      </c>
      <c r="J32" s="21">
        <f>'CF12.09'!D37/1000</f>
        <v>-3491.456</v>
      </c>
      <c r="K32" s="185"/>
      <c r="L32" s="19"/>
    </row>
    <row r="33" spans="2:12" s="51" customFormat="1" ht="14.25" hidden="1">
      <c r="B33" s="45" t="s">
        <v>264</v>
      </c>
      <c r="C33" s="18"/>
      <c r="D33" s="18"/>
      <c r="E33" s="21"/>
      <c r="F33" s="21"/>
      <c r="G33" s="211">
        <f>'[7]Cashflow0314'!$B$28-181</f>
        <v>0</v>
      </c>
      <c r="H33" s="250"/>
      <c r="I33" s="28">
        <v>0</v>
      </c>
      <c r="J33" s="21"/>
      <c r="K33" s="185"/>
      <c r="L33" s="19"/>
    </row>
    <row r="34" spans="2:12" s="51" customFormat="1" ht="15" thickBot="1">
      <c r="B34" s="45"/>
      <c r="C34" s="18"/>
      <c r="D34" s="18"/>
      <c r="E34" s="22"/>
      <c r="F34" s="28"/>
      <c r="G34" s="214"/>
      <c r="H34" s="249"/>
      <c r="I34" s="22"/>
      <c r="J34" s="22"/>
      <c r="K34" s="185"/>
      <c r="L34" s="19"/>
    </row>
    <row r="35" spans="2:12" s="51" customFormat="1" ht="15.75" thickBot="1">
      <c r="B35" s="191" t="s">
        <v>402</v>
      </c>
      <c r="C35" s="18"/>
      <c r="D35" s="18"/>
      <c r="E35" s="50">
        <f>'[4]cashflow.'!$U$37</f>
        <v>-620.5913999999921</v>
      </c>
      <c r="F35" s="108"/>
      <c r="G35" s="215">
        <f>SUM(G29:G34)</f>
        <v>-635.3999300000096</v>
      </c>
      <c r="H35" s="250"/>
      <c r="I35" s="50">
        <f>SUM(I29:I34)</f>
        <v>-5025</v>
      </c>
      <c r="J35" s="152">
        <f>'CF12.09'!D39/1000</f>
        <v>11031.564</v>
      </c>
      <c r="K35" s="185"/>
      <c r="L35" s="19"/>
    </row>
    <row r="36" spans="2:12" s="51" customFormat="1" ht="14.25">
      <c r="B36" s="45"/>
      <c r="C36" s="18"/>
      <c r="D36" s="18"/>
      <c r="E36" s="99"/>
      <c r="F36" s="99"/>
      <c r="G36" s="218"/>
      <c r="H36" s="251"/>
      <c r="I36" s="99"/>
      <c r="J36" s="99"/>
      <c r="K36" s="185"/>
      <c r="L36" s="19"/>
    </row>
    <row r="37" spans="2:12" s="51" customFormat="1" ht="14.25">
      <c r="B37" s="45"/>
      <c r="C37" s="19"/>
      <c r="D37" s="19"/>
      <c r="E37" s="21"/>
      <c r="F37" s="21"/>
      <c r="G37" s="211"/>
      <c r="H37" s="249"/>
      <c r="I37" s="249"/>
      <c r="J37" s="21"/>
      <c r="K37" s="185"/>
      <c r="L37" s="19"/>
    </row>
    <row r="38" spans="2:12" s="51" customFormat="1" ht="15" customHeight="1">
      <c r="B38" s="191" t="s">
        <v>71</v>
      </c>
      <c r="C38" s="25"/>
      <c r="D38" s="25"/>
      <c r="E38" s="21"/>
      <c r="F38" s="21"/>
      <c r="G38" s="211"/>
      <c r="H38" s="249"/>
      <c r="I38" s="21"/>
      <c r="J38" s="21"/>
      <c r="K38" s="186"/>
      <c r="L38" s="19"/>
    </row>
    <row r="39" spans="2:12" s="51" customFormat="1" ht="14.25">
      <c r="B39" s="42" t="s">
        <v>72</v>
      </c>
      <c r="C39" s="18"/>
      <c r="D39" s="18"/>
      <c r="E39" s="21">
        <f>'[4]cashflow.'!$U$41+'[4]cashflow.'!$U$42</f>
        <v>146</v>
      </c>
      <c r="F39" s="21"/>
      <c r="G39" s="211">
        <f>'[11]Sheet1'!$C$51</f>
        <v>0.72464</v>
      </c>
      <c r="H39" s="249"/>
      <c r="I39" s="21">
        <v>27</v>
      </c>
      <c r="J39" s="21">
        <f>'CF12.09'!D45/1000+'CF12.09'!D44/1000</f>
        <v>419.404</v>
      </c>
      <c r="K39" s="185"/>
      <c r="L39" s="19"/>
    </row>
    <row r="40" spans="2:12" s="51" customFormat="1" ht="14.25">
      <c r="B40" s="42" t="s">
        <v>259</v>
      </c>
      <c r="C40" s="19"/>
      <c r="D40" s="19"/>
      <c r="E40" s="21">
        <v>0</v>
      </c>
      <c r="F40" s="21"/>
      <c r="G40" s="211">
        <f>'[11]Sheet1'!$C$59</f>
        <v>-277.4700699999994</v>
      </c>
      <c r="H40" s="249"/>
      <c r="I40" s="21">
        <v>2459</v>
      </c>
      <c r="J40" s="21">
        <f>'CF12.09'!D46/1000</f>
        <v>-500.682</v>
      </c>
      <c r="K40" s="185"/>
      <c r="L40" s="19"/>
    </row>
    <row r="41" spans="2:12" s="51" customFormat="1" ht="14.25">
      <c r="B41" s="45" t="s">
        <v>73</v>
      </c>
      <c r="C41" s="19"/>
      <c r="D41" s="19"/>
      <c r="E41" s="21">
        <f>'[4]cashflow.'!$U$45</f>
        <v>-1142</v>
      </c>
      <c r="F41" s="21"/>
      <c r="G41" s="211">
        <f>'[11]Sheet1'!$C$64</f>
        <v>-6438.4694500000005</v>
      </c>
      <c r="H41" s="249"/>
      <c r="I41" s="21">
        <v>-2859</v>
      </c>
      <c r="J41" s="21">
        <f>'CF12.09'!D47/1000</f>
        <v>-11636.454</v>
      </c>
      <c r="K41" s="185"/>
      <c r="L41" s="19"/>
    </row>
    <row r="42" spans="2:12" s="51" customFormat="1" ht="13.5" customHeight="1" hidden="1">
      <c r="B42" s="45" t="s">
        <v>256</v>
      </c>
      <c r="C42" s="19"/>
      <c r="D42" s="19"/>
      <c r="E42" s="21"/>
      <c r="F42" s="21"/>
      <c r="G42" s="211">
        <f>'[9]Sheet1'!$C$62</f>
        <v>0</v>
      </c>
      <c r="H42" s="249"/>
      <c r="I42" s="21">
        <f>400/1000</f>
        <v>0.4</v>
      </c>
      <c r="J42" s="21"/>
      <c r="K42" s="185"/>
      <c r="L42" s="19"/>
    </row>
    <row r="43" spans="2:12" s="51" customFormat="1" ht="14.25" hidden="1">
      <c r="B43" s="45" t="s">
        <v>270</v>
      </c>
      <c r="C43" s="19"/>
      <c r="D43" s="19"/>
      <c r="E43" s="21"/>
      <c r="F43" s="21"/>
      <c r="G43" s="211">
        <f>'[9]Sheet1'!$C$55</f>
        <v>0</v>
      </c>
      <c r="H43" s="249"/>
      <c r="I43" s="21">
        <v>0</v>
      </c>
      <c r="J43" s="21"/>
      <c r="K43" s="185"/>
      <c r="L43" s="19"/>
    </row>
    <row r="44" spans="2:12" s="51" customFormat="1" ht="14.25">
      <c r="B44" s="201" t="s">
        <v>249</v>
      </c>
      <c r="C44" s="19"/>
      <c r="D44" s="19"/>
      <c r="E44" s="21"/>
      <c r="F44" s="21"/>
      <c r="G44" s="211">
        <f>'[11]Sheet1'!$C$52</f>
        <v>277.46981</v>
      </c>
      <c r="H44" s="249"/>
      <c r="I44" s="21">
        <v>160</v>
      </c>
      <c r="J44" s="21"/>
      <c r="K44" s="185"/>
      <c r="L44" s="19"/>
    </row>
    <row r="45" spans="2:12" s="51" customFormat="1" ht="14.25" hidden="1">
      <c r="B45" s="201" t="s">
        <v>269</v>
      </c>
      <c r="C45" s="19"/>
      <c r="D45" s="19"/>
      <c r="E45" s="21"/>
      <c r="F45" s="21"/>
      <c r="G45" s="211">
        <f>'[9]Sheet1'!$C$53</f>
        <v>0.00326</v>
      </c>
      <c r="H45" s="249"/>
      <c r="I45" s="21">
        <v>0</v>
      </c>
      <c r="J45" s="21"/>
      <c r="K45" s="185"/>
      <c r="L45" s="19"/>
    </row>
    <row r="46" spans="2:12" s="51" customFormat="1" ht="15" thickBot="1">
      <c r="B46" s="45"/>
      <c r="C46" s="19"/>
      <c r="D46" s="19"/>
      <c r="E46" s="22"/>
      <c r="F46" s="28"/>
      <c r="G46" s="214"/>
      <c r="H46" s="250"/>
      <c r="I46" s="22"/>
      <c r="J46" s="22"/>
      <c r="K46" s="185"/>
      <c r="L46" s="19"/>
    </row>
    <row r="47" spans="2:13" s="51" customFormat="1" ht="15.75" thickBot="1">
      <c r="B47" s="45" t="s">
        <v>403</v>
      </c>
      <c r="C47" s="18"/>
      <c r="D47" s="18"/>
      <c r="E47" s="50">
        <f>'[4]cashflow.'!$U$48</f>
        <v>-996</v>
      </c>
      <c r="F47" s="108"/>
      <c r="G47" s="215">
        <f>SUM(G39:G46)+1</f>
        <v>-6436.7418099999995</v>
      </c>
      <c r="H47" s="250"/>
      <c r="I47" s="50">
        <f>SUM(I39:I46)</f>
        <v>-212.60000000000002</v>
      </c>
      <c r="J47" s="50">
        <f>'CF12.09'!D49/1000</f>
        <v>3761.747</v>
      </c>
      <c r="K47" s="195"/>
      <c r="L47" s="19"/>
      <c r="M47" s="100"/>
    </row>
    <row r="48" spans="2:12" s="51" customFormat="1" ht="14.25">
      <c r="B48" s="190"/>
      <c r="C48" s="19"/>
      <c r="D48" s="19"/>
      <c r="E48" s="21"/>
      <c r="F48" s="21"/>
      <c r="G48" s="211"/>
      <c r="H48" s="249"/>
      <c r="I48" s="21"/>
      <c r="J48" s="21"/>
      <c r="K48" s="185"/>
      <c r="L48" s="19"/>
    </row>
    <row r="49" spans="2:12" s="51" customFormat="1" ht="15" customHeight="1">
      <c r="B49" s="191" t="s">
        <v>75</v>
      </c>
      <c r="C49" s="25"/>
      <c r="D49" s="25"/>
      <c r="E49" s="21"/>
      <c r="F49" s="21"/>
      <c r="G49" s="211"/>
      <c r="H49" s="249"/>
      <c r="I49" s="21"/>
      <c r="J49" s="21"/>
      <c r="K49" s="187"/>
      <c r="L49" s="18"/>
    </row>
    <row r="50" spans="2:12" s="51" customFormat="1" ht="14.25" customHeight="1" hidden="1">
      <c r="B50" s="189" t="s">
        <v>186</v>
      </c>
      <c r="C50" s="18"/>
      <c r="D50" s="18"/>
      <c r="E50" s="21">
        <v>0</v>
      </c>
      <c r="F50" s="21"/>
      <c r="G50" s="211">
        <v>0</v>
      </c>
      <c r="H50" s="249"/>
      <c r="I50" s="249">
        <v>0</v>
      </c>
      <c r="J50" s="21">
        <f>'CF12.09'!D53/1000</f>
        <v>13320</v>
      </c>
      <c r="K50" s="185"/>
      <c r="L50" s="19"/>
    </row>
    <row r="51" spans="2:12" s="51" customFormat="1" ht="14.25" customHeight="1" hidden="1">
      <c r="B51" s="189" t="s">
        <v>187</v>
      </c>
      <c r="C51" s="18"/>
      <c r="D51" s="18"/>
      <c r="E51" s="21">
        <f>'[4]cashflow.'!$U$55</f>
        <v>-161.806</v>
      </c>
      <c r="F51" s="21"/>
      <c r="G51" s="211">
        <v>0</v>
      </c>
      <c r="H51" s="249"/>
      <c r="I51" s="249">
        <v>0</v>
      </c>
      <c r="J51" s="21">
        <f>'CF12.09'!D54/1000</f>
        <v>1785.884</v>
      </c>
      <c r="K51" s="185"/>
      <c r="L51" s="19"/>
    </row>
    <row r="52" spans="2:12" s="51" customFormat="1" ht="14.25" customHeight="1">
      <c r="B52" s="189"/>
      <c r="C52" s="18"/>
      <c r="D52" s="18"/>
      <c r="E52" s="21"/>
      <c r="F52" s="21"/>
      <c r="G52" s="211"/>
      <c r="H52" s="249"/>
      <c r="I52" s="21"/>
      <c r="J52" s="21"/>
      <c r="K52" s="185"/>
      <c r="L52" s="19"/>
    </row>
    <row r="53" spans="2:12" s="51" customFormat="1" ht="14.25" customHeight="1">
      <c r="B53" s="189" t="s">
        <v>261</v>
      </c>
      <c r="C53" s="18"/>
      <c r="D53" s="18"/>
      <c r="E53" s="21">
        <f>'[4]cashflow.'!$U$53</f>
        <v>-15</v>
      </c>
      <c r="F53" s="21"/>
      <c r="G53" s="211">
        <f>'[11]Sheet1'!$C$70</f>
        <v>-1121.1493600000001</v>
      </c>
      <c r="H53" s="249"/>
      <c r="I53" s="21">
        <v>-716</v>
      </c>
      <c r="J53" s="21">
        <f>'CF12.09'!D56/1000</f>
        <v>-26.016</v>
      </c>
      <c r="K53" s="185"/>
      <c r="L53" s="19"/>
    </row>
    <row r="54" spans="2:12" s="51" customFormat="1" ht="14.25" customHeight="1">
      <c r="B54" s="189" t="s">
        <v>77</v>
      </c>
      <c r="C54" s="18"/>
      <c r="D54" s="18"/>
      <c r="E54" s="21">
        <f>'[4]cashflow.'!$U$54</f>
        <v>-440</v>
      </c>
      <c r="F54" s="21"/>
      <c r="G54" s="211">
        <v>-189</v>
      </c>
      <c r="H54" s="249"/>
      <c r="I54" s="21">
        <v>-215</v>
      </c>
      <c r="J54" s="21">
        <f>'CF12.09'!D57/1000</f>
        <v>-63.273</v>
      </c>
      <c r="K54" s="185"/>
      <c r="L54" s="19"/>
    </row>
    <row r="55" spans="2:12" s="51" customFormat="1" ht="14.25" customHeight="1">
      <c r="B55" s="189" t="s">
        <v>314</v>
      </c>
      <c r="C55" s="18"/>
      <c r="D55" s="18"/>
      <c r="E55" s="21"/>
      <c r="F55" s="21"/>
      <c r="G55" s="211">
        <v>400</v>
      </c>
      <c r="H55" s="249"/>
      <c r="I55" s="21">
        <v>0</v>
      </c>
      <c r="J55" s="21"/>
      <c r="K55" s="185"/>
      <c r="L55" s="19"/>
    </row>
    <row r="56" spans="2:12" s="51" customFormat="1" ht="14.25" customHeight="1">
      <c r="B56" s="189" t="s">
        <v>224</v>
      </c>
      <c r="C56" s="18"/>
      <c r="D56" s="18"/>
      <c r="E56" s="21">
        <f>'[4]cashflow.'!$U$51</f>
        <v>-1007.242</v>
      </c>
      <c r="F56" s="21"/>
      <c r="G56" s="211">
        <f>'[11]Sheet1'!$C$74</f>
        <v>1579.2800600000005</v>
      </c>
      <c r="H56" s="250"/>
      <c r="I56" s="28">
        <v>3565</v>
      </c>
      <c r="J56" s="21">
        <f>'CF12.09'!D60/1000</f>
        <v>-2812.839</v>
      </c>
      <c r="K56" s="185"/>
      <c r="L56" s="19"/>
    </row>
    <row r="57" spans="2:12" s="51" customFormat="1" ht="14.25" customHeight="1">
      <c r="B57" s="189" t="s">
        <v>225</v>
      </c>
      <c r="C57" s="18"/>
      <c r="D57" s="18"/>
      <c r="E57" s="21"/>
      <c r="F57" s="21"/>
      <c r="G57" s="211">
        <f>'[11]Sheet1'!$C$80</f>
        <v>-6069.830670000005</v>
      </c>
      <c r="H57" s="250"/>
      <c r="I57" s="28">
        <v>-5787</v>
      </c>
      <c r="J57" s="21"/>
      <c r="K57" s="185"/>
      <c r="L57" s="19"/>
    </row>
    <row r="58" spans="2:12" s="51" customFormat="1" ht="14.25" customHeight="1" hidden="1">
      <c r="B58" s="189" t="s">
        <v>271</v>
      </c>
      <c r="C58" s="18"/>
      <c r="D58" s="18"/>
      <c r="E58" s="21"/>
      <c r="F58" s="21"/>
      <c r="G58" s="211"/>
      <c r="H58" s="250"/>
      <c r="I58" s="28">
        <v>0</v>
      </c>
      <c r="J58" s="21"/>
      <c r="K58" s="185"/>
      <c r="L58" s="19"/>
    </row>
    <row r="59" spans="2:12" s="51" customFormat="1" ht="14.25" customHeight="1" hidden="1" thickBot="1">
      <c r="B59" s="202" t="s">
        <v>245</v>
      </c>
      <c r="C59" s="18"/>
      <c r="D59" s="18"/>
      <c r="E59" s="22"/>
      <c r="F59" s="28"/>
      <c r="G59" s="216">
        <f>'[9]Sheet1'!$C$81</f>
        <v>0</v>
      </c>
      <c r="H59" s="250"/>
      <c r="I59" s="28">
        <v>0</v>
      </c>
      <c r="J59" s="22"/>
      <c r="K59" s="185"/>
      <c r="L59" s="19"/>
    </row>
    <row r="60" spans="2:12" s="51" customFormat="1" ht="14.25" customHeight="1" hidden="1" thickBot="1">
      <c r="B60" s="202" t="s">
        <v>244</v>
      </c>
      <c r="C60" s="18"/>
      <c r="D60" s="18"/>
      <c r="E60" s="22"/>
      <c r="F60" s="28"/>
      <c r="G60" s="216">
        <f>'[9]Sheet1'!$C$71</f>
        <v>0</v>
      </c>
      <c r="H60" s="250"/>
      <c r="I60" s="28">
        <v>0</v>
      </c>
      <c r="J60" s="22"/>
      <c r="K60" s="185"/>
      <c r="L60" s="19"/>
    </row>
    <row r="61" spans="2:12" s="51" customFormat="1" ht="14.25" customHeight="1" thickBot="1">
      <c r="B61" s="202"/>
      <c r="C61" s="18"/>
      <c r="D61" s="18"/>
      <c r="E61" s="22"/>
      <c r="F61" s="28"/>
      <c r="G61" s="214"/>
      <c r="H61" s="250"/>
      <c r="I61" s="22"/>
      <c r="J61" s="22"/>
      <c r="K61" s="185"/>
      <c r="L61" s="19"/>
    </row>
    <row r="62" spans="2:12" s="51" customFormat="1" ht="18" customHeight="1" thickBot="1">
      <c r="B62" s="276" t="s">
        <v>281</v>
      </c>
      <c r="C62" s="20"/>
      <c r="D62" s="20"/>
      <c r="E62" s="53">
        <f>'[4]cashflow.'!$U$63</f>
        <v>-1267.048</v>
      </c>
      <c r="F62" s="165"/>
      <c r="G62" s="217">
        <f>SUM(G53:G57)</f>
        <v>-5400.699970000004</v>
      </c>
      <c r="H62" s="250"/>
      <c r="I62" s="50">
        <f>SUM(I50:I60)</f>
        <v>-3153</v>
      </c>
      <c r="J62" s="50">
        <f>'CF12.09'!D63/1000</f>
        <v>4006.676</v>
      </c>
      <c r="K62" s="185"/>
      <c r="L62" s="19"/>
    </row>
    <row r="63" spans="2:12" s="51" customFormat="1" ht="14.25">
      <c r="B63" s="45"/>
      <c r="C63" s="18"/>
      <c r="D63" s="18"/>
      <c r="E63" s="99"/>
      <c r="F63" s="99"/>
      <c r="G63" s="218"/>
      <c r="H63" s="250"/>
      <c r="I63" s="28"/>
      <c r="J63" s="99"/>
      <c r="K63" s="185"/>
      <c r="L63" s="19"/>
    </row>
    <row r="64" spans="2:12" s="51" customFormat="1" ht="14.25" customHeight="1">
      <c r="B64" s="191" t="s">
        <v>282</v>
      </c>
      <c r="C64" s="18"/>
      <c r="D64" s="18"/>
      <c r="E64" s="21">
        <f>'[4]cashflow.'!$U$65</f>
        <v>-2883.639399999992</v>
      </c>
      <c r="F64" s="21"/>
      <c r="G64" s="211">
        <f>G35+G47+G62-1</f>
        <v>-12473.841710000013</v>
      </c>
      <c r="H64" s="250"/>
      <c r="I64" s="211">
        <f>I35+I47+I62</f>
        <v>-8390.6</v>
      </c>
      <c r="J64" s="21">
        <f>'CF12.09'!D65/1000</f>
        <v>18799.987</v>
      </c>
      <c r="K64" s="28"/>
      <c r="L64" s="19"/>
    </row>
    <row r="65" spans="2:12" s="51" customFormat="1" ht="14.25" customHeight="1">
      <c r="B65" s="191"/>
      <c r="C65" s="18"/>
      <c r="D65" s="18"/>
      <c r="E65" s="21"/>
      <c r="F65" s="21"/>
      <c r="G65" s="211"/>
      <c r="H65" s="250"/>
      <c r="I65" s="28"/>
      <c r="J65" s="21"/>
      <c r="K65" s="28"/>
      <c r="L65" s="19"/>
    </row>
    <row r="66" spans="2:12" s="51" customFormat="1" ht="14.25" customHeight="1" hidden="1">
      <c r="B66" s="191" t="s">
        <v>250</v>
      </c>
      <c r="C66" s="18"/>
      <c r="D66" s="18"/>
      <c r="E66" s="21"/>
      <c r="F66" s="21"/>
      <c r="G66" s="211">
        <f>'[9]Sheet1'!$C$91</f>
        <v>4.547473508864641E-12</v>
      </c>
      <c r="H66" s="250"/>
      <c r="I66" s="28">
        <v>0</v>
      </c>
      <c r="J66" s="21"/>
      <c r="K66" s="28"/>
      <c r="L66" s="19"/>
    </row>
    <row r="67" spans="2:12" s="51" customFormat="1" ht="14.25" hidden="1">
      <c r="B67" s="189"/>
      <c r="C67" s="19"/>
      <c r="D67" s="19"/>
      <c r="E67" s="21"/>
      <c r="F67" s="21"/>
      <c r="G67" s="211"/>
      <c r="H67" s="250"/>
      <c r="I67" s="28"/>
      <c r="J67" s="21"/>
      <c r="K67" s="185"/>
      <c r="L67" s="19"/>
    </row>
    <row r="68" spans="2:12" s="51" customFormat="1" ht="14.25" customHeight="1" thickBot="1">
      <c r="B68" s="451" t="s">
        <v>100</v>
      </c>
      <c r="C68" s="20"/>
      <c r="D68" s="20"/>
      <c r="E68" s="22">
        <f>'[4]cashflow.'!$U$67</f>
        <v>18800</v>
      </c>
      <c r="F68" s="28"/>
      <c r="G68" s="214">
        <f>'[11]Sheet1'!$C$94</f>
        <v>3071.0200000000004</v>
      </c>
      <c r="H68" s="250"/>
      <c r="I68" s="22">
        <v>3359</v>
      </c>
      <c r="J68" s="22">
        <f>'CF12.09'!D68/1000</f>
        <v>0.002</v>
      </c>
      <c r="K68" s="185"/>
      <c r="L68" s="19"/>
    </row>
    <row r="69" spans="2:12" s="51" customFormat="1" ht="14.25">
      <c r="B69" s="451"/>
      <c r="C69" s="20"/>
      <c r="D69" s="20"/>
      <c r="E69" s="99"/>
      <c r="F69" s="99"/>
      <c r="G69" s="218"/>
      <c r="H69" s="250"/>
      <c r="I69" s="28"/>
      <c r="J69" s="99"/>
      <c r="K69" s="185"/>
      <c r="L69" s="19"/>
    </row>
    <row r="70" spans="2:12" s="51" customFormat="1" ht="15.75" thickBot="1">
      <c r="B70" s="451" t="s">
        <v>131</v>
      </c>
      <c r="C70" s="20"/>
      <c r="D70" s="19"/>
      <c r="E70" s="107">
        <f>'[4]cashflow.'!$U$69</f>
        <v>15916.360600000007</v>
      </c>
      <c r="F70" s="108"/>
      <c r="G70" s="219">
        <f>SUM(G64:G68)</f>
        <v>-9402.821710000007</v>
      </c>
      <c r="H70" s="252"/>
      <c r="I70" s="107">
        <f>SUM(I64:I68)</f>
        <v>-5031.6</v>
      </c>
      <c r="J70" s="107">
        <f>'CF12.09'!D70/1000</f>
        <v>18799.989</v>
      </c>
      <c r="K70" s="185"/>
      <c r="L70" s="19"/>
    </row>
    <row r="71" spans="2:11" s="51" customFormat="1" ht="15" thickTop="1">
      <c r="B71" s="451"/>
      <c r="G71" s="180"/>
      <c r="H71" s="250"/>
      <c r="I71" s="28"/>
      <c r="K71" s="174"/>
    </row>
    <row r="72" spans="2:11" s="51" customFormat="1" ht="14.25">
      <c r="B72" s="12"/>
      <c r="G72" s="180"/>
      <c r="H72" s="250"/>
      <c r="I72" s="250"/>
      <c r="K72" s="174"/>
    </row>
    <row r="73" spans="2:11" s="51" customFormat="1" ht="14.25">
      <c r="B73" s="2" t="s">
        <v>96</v>
      </c>
      <c r="G73" s="180"/>
      <c r="H73" s="250"/>
      <c r="I73" s="250"/>
      <c r="K73" s="174"/>
    </row>
    <row r="74" spans="2:11" s="51" customFormat="1" ht="14.25">
      <c r="B74" s="12" t="s">
        <v>241</v>
      </c>
      <c r="E74" s="99">
        <f>'[4]cashflow.'!$N$75</f>
        <v>29350</v>
      </c>
      <c r="F74" s="99"/>
      <c r="G74" s="218">
        <f>'[11]CF Working-Grp'!$AS$116+'[11]CF Working-Grp'!$AS$118</f>
        <v>15837.3316</v>
      </c>
      <c r="H74" s="250"/>
      <c r="I74" s="28">
        <v>246</v>
      </c>
      <c r="J74" s="21">
        <f>'CF12.09'!D83/1000+'CF12.09'!D85/1000</f>
        <v>28249.176</v>
      </c>
      <c r="K74" s="174"/>
    </row>
    <row r="75" spans="2:11" s="51" customFormat="1" ht="14.25">
      <c r="B75" s="12" t="s">
        <v>82</v>
      </c>
      <c r="E75" s="99">
        <f>'[4]cashflow.'!$N$76</f>
        <v>3944</v>
      </c>
      <c r="F75" s="99"/>
      <c r="G75" s="218">
        <f>'[11]CF Working-Grp'!$AS$117</f>
        <v>3001.6157000000007</v>
      </c>
      <c r="H75" s="250"/>
      <c r="I75" s="28">
        <v>15233</v>
      </c>
      <c r="J75" s="21">
        <f>'CF12.09'!D86/1000</f>
        <v>3199.333</v>
      </c>
      <c r="K75" s="174"/>
    </row>
    <row r="76" spans="2:11" s="51" customFormat="1" ht="15" thickBot="1">
      <c r="B76" s="12" t="s">
        <v>83</v>
      </c>
      <c r="E76" s="117">
        <f>'[4]cashflow.'!$N$77</f>
        <v>-8541</v>
      </c>
      <c r="F76" s="166"/>
      <c r="G76" s="220">
        <f>'[11]CF Working-Grp'!$AS$119</f>
        <v>-16210.26675</v>
      </c>
      <c r="H76" s="253"/>
      <c r="I76" s="173">
        <v>-8755</v>
      </c>
      <c r="J76" s="22">
        <f>'CF12.09'!D87/1000</f>
        <v>-3959.186</v>
      </c>
      <c r="K76" s="174"/>
    </row>
    <row r="77" spans="2:11" s="51" customFormat="1" ht="14.25">
      <c r="B77" s="12"/>
      <c r="E77" s="99">
        <f>'[4]cashflow.'!$N$78</f>
        <v>24753</v>
      </c>
      <c r="F77" s="99"/>
      <c r="G77" s="218">
        <f>SUM(G74:G76)</f>
        <v>2628.680549999999</v>
      </c>
      <c r="H77" s="224"/>
      <c r="I77" s="99">
        <f>SUM(I74:I76)</f>
        <v>6724</v>
      </c>
      <c r="J77" s="21">
        <f>'CF12.09'!D89/1000</f>
        <v>27489.323</v>
      </c>
      <c r="K77" s="174"/>
    </row>
    <row r="78" spans="2:11" s="51" customFormat="1" ht="14.25">
      <c r="B78" s="43" t="s">
        <v>134</v>
      </c>
      <c r="C78" s="101"/>
      <c r="E78" s="99">
        <f>'[4]cashflow.'!$N$79</f>
        <v>-8843</v>
      </c>
      <c r="F78" s="99"/>
      <c r="G78" s="218">
        <f>'[11]CF Working-Grp'!$AS$120</f>
        <v>-12031.70507</v>
      </c>
      <c r="H78" s="224"/>
      <c r="I78" s="174">
        <v>-11756</v>
      </c>
      <c r="J78" s="21">
        <f>'CF12.09'!D91/1000</f>
        <v>-8689.334</v>
      </c>
      <c r="K78" s="174"/>
    </row>
    <row r="79" spans="2:11" s="51" customFormat="1" ht="15.75" thickBot="1">
      <c r="B79" s="12"/>
      <c r="E79" s="109">
        <f>'[4]cashflow.'!$N$80</f>
        <v>15910</v>
      </c>
      <c r="F79" s="167"/>
      <c r="G79" s="221">
        <f>SUM(G77:G78)</f>
        <v>-9403.02452</v>
      </c>
      <c r="H79" s="252"/>
      <c r="I79" s="172">
        <f>SUM(I77:I78)</f>
        <v>-5032</v>
      </c>
      <c r="J79" s="162">
        <f>'CF12.09'!D93/1000</f>
        <v>18799.989</v>
      </c>
      <c r="K79" s="174"/>
    </row>
    <row r="80" spans="7:11" s="51" customFormat="1" ht="15" thickTop="1">
      <c r="G80" s="28"/>
      <c r="H80" s="250"/>
      <c r="I80" s="28"/>
      <c r="K80" s="174"/>
    </row>
    <row r="81" spans="2:9" s="51" customFormat="1" ht="14.25" hidden="1">
      <c r="B81" s="51" t="s">
        <v>123</v>
      </c>
      <c r="E81" s="100"/>
      <c r="F81" s="100"/>
      <c r="G81" s="184"/>
      <c r="H81" s="28"/>
      <c r="I81" s="28"/>
    </row>
    <row r="82" s="51" customFormat="1" ht="12.75" customHeight="1">
      <c r="G82" s="184"/>
    </row>
    <row r="83" spans="2:7" s="51" customFormat="1" ht="16.5">
      <c r="B83" s="118" t="s">
        <v>219</v>
      </c>
      <c r="G83" s="180"/>
    </row>
    <row r="84" spans="2:7" s="51" customFormat="1" ht="16.5">
      <c r="B84" s="118" t="s">
        <v>274</v>
      </c>
      <c r="G84" s="180"/>
    </row>
    <row r="85" spans="2:7" s="51" customFormat="1" ht="16.5">
      <c r="B85" s="171" t="s">
        <v>99</v>
      </c>
      <c r="G85" s="180"/>
    </row>
  </sheetData>
  <sheetProtection/>
  <mergeCells count="6">
    <mergeCell ref="E5:E8"/>
    <mergeCell ref="G5:G8"/>
    <mergeCell ref="I5:I8"/>
    <mergeCell ref="J5:J8"/>
    <mergeCell ref="B68:B69"/>
    <mergeCell ref="B70:B71"/>
  </mergeCells>
  <printOptions/>
  <pageMargins left="0.18" right="0.11" top="0.12" bottom="0.13" header="0.12" footer="0.13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0"/>
  <sheetViews>
    <sheetView zoomScalePageLayoutView="0" workbookViewId="0" topLeftCell="A38">
      <selection activeCell="G61" sqref="G61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203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statement'!B1</f>
        <v>HANDAL RESOURCES  BERHAD (816839-X)</v>
      </c>
    </row>
    <row r="3" spans="2:7" s="51" customFormat="1" ht="15">
      <c r="B3" s="16" t="s">
        <v>87</v>
      </c>
      <c r="G3" s="180"/>
    </row>
    <row r="4" spans="2:10" s="51" customFormat="1" ht="15" customHeight="1">
      <c r="B4" s="16" t="s">
        <v>253</v>
      </c>
      <c r="E4" s="39"/>
      <c r="F4" s="39"/>
      <c r="G4" s="181"/>
      <c r="H4" s="39"/>
      <c r="I4" s="39"/>
      <c r="J4" s="39"/>
    </row>
    <row r="5" spans="2:10" s="51" customFormat="1" ht="15" customHeight="1">
      <c r="B5" s="16"/>
      <c r="E5" s="436" t="s">
        <v>207</v>
      </c>
      <c r="F5" s="56"/>
      <c r="G5" s="436" t="s">
        <v>254</v>
      </c>
      <c r="I5" s="436" t="s">
        <v>255</v>
      </c>
      <c r="J5" s="436" t="s">
        <v>208</v>
      </c>
    </row>
    <row r="6" spans="2:10" s="51" customFormat="1" ht="15" customHeight="1">
      <c r="B6" s="16"/>
      <c r="E6" s="436"/>
      <c r="F6" s="56"/>
      <c r="G6" s="436"/>
      <c r="I6" s="450"/>
      <c r="J6" s="450"/>
    </row>
    <row r="7" spans="2:10" s="51" customFormat="1" ht="15" customHeight="1">
      <c r="B7" s="16"/>
      <c r="E7" s="436"/>
      <c r="F7" s="56"/>
      <c r="G7" s="436"/>
      <c r="I7" s="450"/>
      <c r="J7" s="450"/>
    </row>
    <row r="8" spans="2:10" s="51" customFormat="1" ht="45" customHeight="1">
      <c r="B8" s="16"/>
      <c r="E8" s="436"/>
      <c r="F8" s="56"/>
      <c r="G8" s="436"/>
      <c r="I8" s="450"/>
      <c r="J8" s="450"/>
    </row>
    <row r="9" spans="2:10" s="51" customFormat="1" ht="15" customHeight="1">
      <c r="B9" s="16"/>
      <c r="E9" s="58" t="s">
        <v>3</v>
      </c>
      <c r="F9" s="58"/>
      <c r="G9" s="182" t="s">
        <v>3</v>
      </c>
      <c r="I9" s="178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183"/>
      <c r="H10" s="16"/>
      <c r="I10" s="16"/>
      <c r="J10" s="17"/>
    </row>
    <row r="11" spans="2:10" s="51" customFormat="1" ht="12.75" customHeight="1">
      <c r="B11" s="15" t="s">
        <v>63</v>
      </c>
      <c r="C11" s="15"/>
      <c r="D11" s="15"/>
      <c r="E11" s="15"/>
      <c r="F11" s="15"/>
      <c r="G11" s="205"/>
      <c r="H11" s="15"/>
      <c r="I11" s="15"/>
      <c r="J11" s="19"/>
    </row>
    <row r="12" spans="2:11" s="51" customFormat="1" ht="14.25">
      <c r="B12" s="20" t="s">
        <v>2</v>
      </c>
      <c r="C12" s="19"/>
      <c r="D12" s="19"/>
      <c r="E12" s="21">
        <f>'[4]cashflow.'!$U$8</f>
        <v>2912</v>
      </c>
      <c r="F12" s="21"/>
      <c r="G12" s="211">
        <f>'[6]Cashflow0613'!$C$6</f>
        <v>670.6215750020297</v>
      </c>
      <c r="H12" s="21"/>
      <c r="I12" s="21">
        <v>4617</v>
      </c>
      <c r="J12" s="21">
        <f>'CF12.09'!D12/1000</f>
        <v>13768.765</v>
      </c>
      <c r="K12" s="174"/>
    </row>
    <row r="13" spans="2:11" s="51" customFormat="1" ht="14.25">
      <c r="B13" s="20"/>
      <c r="C13" s="19"/>
      <c r="D13" s="19"/>
      <c r="E13" s="21"/>
      <c r="F13" s="21"/>
      <c r="G13" s="211"/>
      <c r="H13" s="21"/>
      <c r="I13" s="21"/>
      <c r="J13" s="21"/>
      <c r="K13" s="174"/>
    </row>
    <row r="14" spans="2:11" s="51" customFormat="1" ht="15" thickBot="1">
      <c r="B14" s="188" t="s">
        <v>111</v>
      </c>
      <c r="C14" s="19"/>
      <c r="D14" s="19"/>
      <c r="E14" s="21" t="e">
        <f>'[4]cashflow.'!$V$17</f>
        <v>#REF!</v>
      </c>
      <c r="F14" s="21"/>
      <c r="G14" s="211">
        <f>'[6]Cashflow0613'!$J$18+1</f>
        <v>1988.8980427333336</v>
      </c>
      <c r="H14" s="21"/>
      <c r="I14" s="22">
        <v>4217</v>
      </c>
      <c r="J14" s="22">
        <f>'CF12.09'!E22/1000</f>
        <v>914.288</v>
      </c>
      <c r="K14" s="174"/>
    </row>
    <row r="15" spans="2:11" s="51" customFormat="1" ht="14.25">
      <c r="B15" s="189"/>
      <c r="C15" s="19"/>
      <c r="D15" s="19"/>
      <c r="E15" s="23"/>
      <c r="F15" s="28"/>
      <c r="G15" s="212"/>
      <c r="H15" s="28"/>
      <c r="I15" s="28"/>
      <c r="J15" s="21"/>
      <c r="K15" s="174"/>
    </row>
    <row r="16" spans="2:11" s="51" customFormat="1" ht="15.75" customHeight="1">
      <c r="B16" s="188" t="s">
        <v>8</v>
      </c>
      <c r="C16" s="19"/>
      <c r="D16" s="19"/>
      <c r="E16" s="49">
        <f>'[4]cashflow.'!$U$21</f>
        <v>3906</v>
      </c>
      <c r="F16" s="49"/>
      <c r="G16" s="213">
        <f>SUM(G12:G14)</f>
        <v>2659.519617735363</v>
      </c>
      <c r="H16" s="21"/>
      <c r="I16" s="49">
        <f>SUM(I12:I14)</f>
        <v>8834</v>
      </c>
      <c r="J16" s="49">
        <f>'CF12.09'!D24/1000</f>
        <v>14683.053</v>
      </c>
      <c r="K16" s="174"/>
    </row>
    <row r="17" spans="2:15" s="51" customFormat="1" ht="14.25">
      <c r="B17" s="190"/>
      <c r="C17" s="24"/>
      <c r="D17" s="24"/>
      <c r="E17" s="21"/>
      <c r="F17" s="21"/>
      <c r="G17" s="211"/>
      <c r="H17" s="21"/>
      <c r="I17" s="21"/>
      <c r="J17" s="21"/>
      <c r="K17" s="185"/>
      <c r="L17" s="19"/>
      <c r="M17" s="19"/>
      <c r="N17" s="19"/>
      <c r="O17" s="19"/>
    </row>
    <row r="18" spans="2:12" s="51" customFormat="1" ht="14.25" customHeight="1" hidden="1">
      <c r="B18" s="41" t="s">
        <v>88</v>
      </c>
      <c r="C18" s="24"/>
      <c r="D18" s="24"/>
      <c r="E18" s="21">
        <f>'[1]cashflow.'!D22</f>
        <v>0</v>
      </c>
      <c r="F18" s="21"/>
      <c r="G18" s="211" t="e">
        <f>'[1]cashflow.'!F22</f>
        <v>#REF!</v>
      </c>
      <c r="H18" s="21"/>
      <c r="I18" s="21"/>
      <c r="J18" s="21" t="s">
        <v>24</v>
      </c>
      <c r="K18" s="185"/>
      <c r="L18" s="19"/>
    </row>
    <row r="19" spans="2:12" s="51" customFormat="1" ht="14.25" customHeight="1">
      <c r="B19" s="41" t="s">
        <v>227</v>
      </c>
      <c r="C19" s="24"/>
      <c r="D19" s="24"/>
      <c r="E19" s="21">
        <f>'[4]cashflow.'!$U$23</f>
        <v>312.60903000000053</v>
      </c>
      <c r="F19" s="21"/>
      <c r="G19" s="211">
        <f>'[6]Cashflow0613'!$C$20</f>
        <v>-499</v>
      </c>
      <c r="H19" s="21"/>
      <c r="I19" s="21">
        <v>-3194</v>
      </c>
      <c r="J19" s="21">
        <f>'CF12.09'!D26/1000</f>
        <v>1005.378</v>
      </c>
      <c r="K19" s="185"/>
      <c r="L19" s="19"/>
    </row>
    <row r="20" spans="2:12" s="51" customFormat="1" ht="14.25" customHeight="1">
      <c r="B20" s="41" t="s">
        <v>228</v>
      </c>
      <c r="C20" s="24"/>
      <c r="D20" s="24"/>
      <c r="E20" s="21">
        <f>'[4]cashflow.'!$U$24</f>
        <v>-1741.777379999996</v>
      </c>
      <c r="F20" s="21"/>
      <c r="G20" s="211">
        <f>'[6]Cashflow0613'!$C$21</f>
        <v>-6579</v>
      </c>
      <c r="H20" s="21"/>
      <c r="I20" s="21">
        <v>-2962</v>
      </c>
      <c r="J20" s="21">
        <f>'CF12.09'!D27/1000</f>
        <v>2638.376</v>
      </c>
      <c r="K20" s="185"/>
      <c r="L20" s="19"/>
    </row>
    <row r="21" spans="2:12" s="51" customFormat="1" ht="14.25" customHeight="1">
      <c r="B21" s="41" t="s">
        <v>233</v>
      </c>
      <c r="C21" s="24"/>
      <c r="D21" s="24"/>
      <c r="E21" s="21">
        <f>'[4]cashflow.'!$U$25</f>
        <v>-1991.7909599999984</v>
      </c>
      <c r="F21" s="21"/>
      <c r="G21" s="211">
        <f>'[6]Cashflow0613'!$C$22</f>
        <v>-244.1172085712019</v>
      </c>
      <c r="H21" s="21"/>
      <c r="I21" s="21">
        <v>5655</v>
      </c>
      <c r="J21" s="21">
        <f>'CF12.09'!D28/1000</f>
        <v>-3186.2</v>
      </c>
      <c r="K21" s="185"/>
      <c r="L21" s="19"/>
    </row>
    <row r="22" spans="2:12" s="51" customFormat="1" ht="14.25" customHeight="1">
      <c r="B22" s="189" t="s">
        <v>229</v>
      </c>
      <c r="C22" s="24"/>
      <c r="D22" s="24"/>
      <c r="E22" s="21">
        <f>'[4]cashflow.'!$U$26</f>
        <v>770.346</v>
      </c>
      <c r="F22" s="21"/>
      <c r="G22" s="211">
        <f>'[6]Cashflow0613'!$C$23</f>
        <v>4102</v>
      </c>
      <c r="H22" s="21"/>
      <c r="I22" s="21">
        <v>4957</v>
      </c>
      <c r="J22" s="21">
        <f>'CF12.09'!D29/1000</f>
        <v>-1774.921</v>
      </c>
      <c r="K22" s="185"/>
      <c r="L22" s="19"/>
    </row>
    <row r="23" spans="2:12" s="51" customFormat="1" ht="14.25" customHeight="1">
      <c r="B23" s="41" t="s">
        <v>230</v>
      </c>
      <c r="C23" s="20"/>
      <c r="D23" s="20"/>
      <c r="E23" s="21">
        <f>'[4]cashflow.'!$U$27</f>
        <v>8.91215000000011</v>
      </c>
      <c r="F23" s="21"/>
      <c r="G23" s="211">
        <v>0</v>
      </c>
      <c r="H23" s="21"/>
      <c r="I23" s="21">
        <v>-1189</v>
      </c>
      <c r="J23" s="21">
        <f>'CF12.09'!D30/1000</f>
        <v>1373.389</v>
      </c>
      <c r="K23" s="185"/>
      <c r="L23" s="19"/>
    </row>
    <row r="24" spans="2:12" s="51" customFormat="1" ht="14.25" customHeight="1">
      <c r="B24" s="41" t="s">
        <v>234</v>
      </c>
      <c r="C24" s="20"/>
      <c r="D24" s="20"/>
      <c r="E24" s="21">
        <f>'[4]cashflow.'!$U$28</f>
        <v>-230.72018999999818</v>
      </c>
      <c r="F24" s="21"/>
      <c r="G24" s="211">
        <f>'[6]Cashflow0613'!$C$24</f>
        <v>2350.102107030795</v>
      </c>
      <c r="H24" s="21"/>
      <c r="I24" s="21">
        <v>-1718</v>
      </c>
      <c r="J24" s="21">
        <f>'CF12.09'!D31/1000</f>
        <v>189.777</v>
      </c>
      <c r="K24" s="185"/>
      <c r="L24" s="19"/>
    </row>
    <row r="25" spans="2:12" s="51" customFormat="1" ht="14.25" customHeight="1">
      <c r="B25" s="189" t="s">
        <v>232</v>
      </c>
      <c r="C25" s="20"/>
      <c r="D25" s="20"/>
      <c r="E25" s="21"/>
      <c r="F25" s="21"/>
      <c r="G25" s="211">
        <f>'[5]Cashflow0313'!$C$25</f>
        <v>0</v>
      </c>
      <c r="H25" s="21"/>
      <c r="I25" s="21">
        <v>-151</v>
      </c>
      <c r="J25" s="21"/>
      <c r="K25" s="185"/>
      <c r="L25" s="19"/>
    </row>
    <row r="26" spans="2:12" s="51" customFormat="1" ht="15" thickBot="1">
      <c r="B26" s="40" t="s">
        <v>235</v>
      </c>
      <c r="C26" s="20"/>
      <c r="D26" s="20"/>
      <c r="E26" s="22">
        <f>'[4]cashflow.'!$U$29</f>
        <v>-780.1700500000002</v>
      </c>
      <c r="F26" s="28"/>
      <c r="G26" s="214">
        <v>0</v>
      </c>
      <c r="H26" s="28"/>
      <c r="I26" s="22">
        <v>-511</v>
      </c>
      <c r="J26" s="22">
        <f>'CF12.09'!D32/1000</f>
        <v>-271.731</v>
      </c>
      <c r="K26" s="185"/>
      <c r="L26" s="19"/>
    </row>
    <row r="27" spans="2:12" s="51" customFormat="1" ht="14.25">
      <c r="B27" s="190"/>
      <c r="C27" s="24"/>
      <c r="D27" s="24"/>
      <c r="E27" s="21"/>
      <c r="F27" s="21"/>
      <c r="G27" s="211"/>
      <c r="H27" s="21"/>
      <c r="I27" s="21"/>
      <c r="J27" s="21"/>
      <c r="K27" s="185"/>
      <c r="L27" s="19"/>
    </row>
    <row r="28" spans="2:12" s="51" customFormat="1" ht="14.25" customHeight="1">
      <c r="B28" s="188" t="s">
        <v>105</v>
      </c>
      <c r="C28" s="20"/>
      <c r="D28" s="20"/>
      <c r="E28" s="49">
        <f>'[4]cashflow.'!$U$32</f>
        <v>254.40860000000794</v>
      </c>
      <c r="F28" s="49"/>
      <c r="G28" s="213">
        <f>SUM(G19:G27)+G16</f>
        <v>1789.504516194956</v>
      </c>
      <c r="H28" s="21"/>
      <c r="I28" s="49">
        <f>SUM(I16:I26)</f>
        <v>9721</v>
      </c>
      <c r="J28" s="49">
        <f>'CF12.09'!D34/1000</f>
        <v>14657.121</v>
      </c>
      <c r="K28" s="185"/>
      <c r="L28" s="19"/>
    </row>
    <row r="29" spans="2:12" s="51" customFormat="1" ht="14.25" customHeight="1">
      <c r="B29" s="188"/>
      <c r="C29" s="20"/>
      <c r="D29" s="20"/>
      <c r="E29" s="49"/>
      <c r="F29" s="49"/>
      <c r="G29" s="207"/>
      <c r="H29" s="21"/>
      <c r="I29" s="49"/>
      <c r="J29" s="49"/>
      <c r="K29" s="185"/>
      <c r="L29" s="19"/>
    </row>
    <row r="30" spans="2:12" s="51" customFormat="1" ht="14.25" customHeight="1">
      <c r="B30" s="45" t="s">
        <v>9</v>
      </c>
      <c r="C30" s="18"/>
      <c r="D30" s="18"/>
      <c r="E30" s="21">
        <f>'[4]cashflow.'!$R$34</f>
        <v>-43</v>
      </c>
      <c r="F30" s="21"/>
      <c r="G30" s="211">
        <f>'[6]Cashflow0613'!$C$27</f>
        <v>-112.77533</v>
      </c>
      <c r="H30" s="21"/>
      <c r="I30" s="21">
        <v>-1766</v>
      </c>
      <c r="J30" s="21">
        <f>'CF12.09'!D36/1000</f>
        <v>-134.101</v>
      </c>
      <c r="K30" s="185"/>
      <c r="L30" s="19"/>
    </row>
    <row r="31" spans="2:12" s="51" customFormat="1" ht="14.25">
      <c r="B31" s="45" t="s">
        <v>70</v>
      </c>
      <c r="C31" s="18"/>
      <c r="D31" s="18"/>
      <c r="E31" s="21">
        <f>'[4]cashflow.'!$R$35</f>
        <v>-832</v>
      </c>
      <c r="F31" s="21"/>
      <c r="G31" s="211">
        <f>'[6]Cashflow0613'!$C$29</f>
        <v>-1005</v>
      </c>
      <c r="H31" s="28"/>
      <c r="I31" s="28">
        <v>-1451</v>
      </c>
      <c r="J31" s="21">
        <f>'CF12.09'!D37/1000</f>
        <v>-3491.456</v>
      </c>
      <c r="K31" s="185"/>
      <c r="L31" s="19"/>
    </row>
    <row r="32" spans="2:12" s="51" customFormat="1" ht="15" thickBot="1">
      <c r="B32" s="45"/>
      <c r="C32" s="18"/>
      <c r="D32" s="18"/>
      <c r="E32" s="22"/>
      <c r="F32" s="28"/>
      <c r="G32" s="214"/>
      <c r="H32" s="21"/>
      <c r="I32" s="22"/>
      <c r="J32" s="22"/>
      <c r="K32" s="185"/>
      <c r="L32" s="19"/>
    </row>
    <row r="33" spans="2:12" s="51" customFormat="1" ht="15.75" thickBot="1">
      <c r="B33" s="191" t="s">
        <v>44</v>
      </c>
      <c r="C33" s="18"/>
      <c r="D33" s="18"/>
      <c r="E33" s="50">
        <f>'[4]cashflow.'!$U$37</f>
        <v>-620.5913999999921</v>
      </c>
      <c r="F33" s="108"/>
      <c r="G33" s="215">
        <f>SUM(G28:G32)</f>
        <v>671.7291861949561</v>
      </c>
      <c r="H33" s="28"/>
      <c r="I33" s="50">
        <f>SUM(I28:I32)-1</f>
        <v>6503</v>
      </c>
      <c r="J33" s="152">
        <f>'CF12.09'!D39/1000</f>
        <v>11031.564</v>
      </c>
      <c r="K33" s="185"/>
      <c r="L33" s="19"/>
    </row>
    <row r="34" spans="2:12" s="51" customFormat="1" ht="14.25">
      <c r="B34" s="45"/>
      <c r="C34" s="18"/>
      <c r="D34" s="18"/>
      <c r="E34" s="99"/>
      <c r="F34" s="99"/>
      <c r="G34" s="208"/>
      <c r="H34" s="99"/>
      <c r="I34" s="99"/>
      <c r="J34" s="99"/>
      <c r="K34" s="185"/>
      <c r="L34" s="19"/>
    </row>
    <row r="35" spans="2:12" s="51" customFormat="1" ht="14.25">
      <c r="B35" s="45"/>
      <c r="C35" s="19"/>
      <c r="D35" s="19"/>
      <c r="E35" s="21"/>
      <c r="F35" s="21"/>
      <c r="G35" s="206"/>
      <c r="H35" s="21"/>
      <c r="I35" s="21"/>
      <c r="J35" s="21"/>
      <c r="K35" s="185"/>
      <c r="L35" s="19"/>
    </row>
    <row r="36" spans="2:12" s="51" customFormat="1" ht="15" customHeight="1">
      <c r="B36" s="191" t="s">
        <v>71</v>
      </c>
      <c r="C36" s="25"/>
      <c r="D36" s="25"/>
      <c r="E36" s="21"/>
      <c r="F36" s="21"/>
      <c r="G36" s="206"/>
      <c r="H36" s="21"/>
      <c r="I36" s="21"/>
      <c r="J36" s="21"/>
      <c r="K36" s="186"/>
      <c r="L36" s="19"/>
    </row>
    <row r="37" spans="2:12" s="51" customFormat="1" ht="14.25">
      <c r="B37" s="42" t="s">
        <v>72</v>
      </c>
      <c r="C37" s="18"/>
      <c r="D37" s="18"/>
      <c r="E37" s="21">
        <f>'[4]cashflow.'!$U$41+'[4]cashflow.'!$U$42</f>
        <v>146</v>
      </c>
      <c r="F37" s="21"/>
      <c r="G37" s="211">
        <f>'[6]Cashflow0613'!$C$36</f>
        <v>79.31141000000001</v>
      </c>
      <c r="H37" s="21"/>
      <c r="I37" s="21">
        <v>590</v>
      </c>
      <c r="J37" s="21">
        <f>'CF12.09'!D45/1000+'CF12.09'!D44/1000</f>
        <v>419.404</v>
      </c>
      <c r="K37" s="185"/>
      <c r="L37" s="19"/>
    </row>
    <row r="38" spans="2:12" s="51" customFormat="1" ht="14.25">
      <c r="B38" s="42" t="s">
        <v>90</v>
      </c>
      <c r="C38" s="19"/>
      <c r="D38" s="19"/>
      <c r="E38" s="21">
        <v>0</v>
      </c>
      <c r="F38" s="21"/>
      <c r="G38" s="211">
        <f>'[6]Cashflow0613'!$C$37</f>
        <v>2090.0843300000015</v>
      </c>
      <c r="H38" s="21"/>
      <c r="I38" s="21">
        <v>-489</v>
      </c>
      <c r="J38" s="21">
        <f>'CF12.09'!D46/1000</f>
        <v>-500.682</v>
      </c>
      <c r="K38" s="185"/>
      <c r="L38" s="19"/>
    </row>
    <row r="39" spans="2:12" s="51" customFormat="1" ht="14.25">
      <c r="B39" s="45" t="s">
        <v>73</v>
      </c>
      <c r="C39" s="19"/>
      <c r="D39" s="19"/>
      <c r="E39" s="21">
        <f>'[4]cashflow.'!$U$45</f>
        <v>-1142</v>
      </c>
      <c r="F39" s="21"/>
      <c r="G39" s="211">
        <f>'[6]Cashflow0613'!$C$38</f>
        <v>-5791.46975</v>
      </c>
      <c r="H39" s="21"/>
      <c r="I39" s="21">
        <v>-9777</v>
      </c>
      <c r="J39" s="21">
        <f>'CF12.09'!D47/1000</f>
        <v>-11636.454</v>
      </c>
      <c r="K39" s="185"/>
      <c r="L39" s="19"/>
    </row>
    <row r="40" spans="2:12" s="51" customFormat="1" ht="14.25">
      <c r="B40" s="45" t="s">
        <v>256</v>
      </c>
      <c r="C40" s="19"/>
      <c r="D40" s="19"/>
      <c r="E40" s="21"/>
      <c r="F40" s="21"/>
      <c r="G40" s="211">
        <v>0</v>
      </c>
      <c r="H40" s="21"/>
      <c r="I40" s="21">
        <v>63</v>
      </c>
      <c r="J40" s="21"/>
      <c r="K40" s="185"/>
      <c r="L40" s="19"/>
    </row>
    <row r="41" spans="2:12" s="51" customFormat="1" ht="14.25">
      <c r="B41" s="45" t="s">
        <v>258</v>
      </c>
      <c r="C41" s="19"/>
      <c r="D41" s="19"/>
      <c r="E41" s="21"/>
      <c r="F41" s="21"/>
      <c r="G41" s="211">
        <f>'[6]Cashflow0613'!$C$39</f>
        <v>5.00786</v>
      </c>
      <c r="H41" s="21"/>
      <c r="I41" s="21">
        <v>0</v>
      </c>
      <c r="J41" s="21"/>
      <c r="K41" s="185"/>
      <c r="L41" s="19"/>
    </row>
    <row r="42" spans="2:12" s="51" customFormat="1" ht="14.25">
      <c r="B42" s="45" t="s">
        <v>257</v>
      </c>
      <c r="C42" s="19"/>
      <c r="D42" s="19"/>
      <c r="E42" s="21"/>
      <c r="F42" s="21"/>
      <c r="G42" s="211">
        <v>0</v>
      </c>
      <c r="H42" s="21"/>
      <c r="I42" s="21">
        <v>-2289</v>
      </c>
      <c r="J42" s="21"/>
      <c r="K42" s="185"/>
      <c r="L42" s="19"/>
    </row>
    <row r="43" spans="2:12" s="51" customFormat="1" ht="14.25">
      <c r="B43" s="201" t="s">
        <v>249</v>
      </c>
      <c r="C43" s="19"/>
      <c r="D43" s="19"/>
      <c r="E43" s="21"/>
      <c r="F43" s="21"/>
      <c r="G43" s="211">
        <f>'[6]Cashflow0613'!$C$35+'[6]Cashflow0613'!$C$34</f>
        <v>140.183</v>
      </c>
      <c r="H43" s="21"/>
      <c r="I43" s="21">
        <v>167</v>
      </c>
      <c r="J43" s="21"/>
      <c r="K43" s="185"/>
      <c r="L43" s="19"/>
    </row>
    <row r="44" spans="2:12" s="51" customFormat="1" ht="15" thickBot="1">
      <c r="B44" s="45"/>
      <c r="C44" s="19"/>
      <c r="D44" s="19"/>
      <c r="E44" s="22"/>
      <c r="F44" s="28"/>
      <c r="G44" s="214"/>
      <c r="H44" s="28"/>
      <c r="I44" s="22"/>
      <c r="J44" s="22"/>
      <c r="K44" s="185"/>
      <c r="L44" s="19"/>
    </row>
    <row r="45" spans="2:13" s="51" customFormat="1" ht="15.75" thickBot="1">
      <c r="B45" s="45" t="s">
        <v>130</v>
      </c>
      <c r="C45" s="18"/>
      <c r="D45" s="18"/>
      <c r="E45" s="50">
        <f>'[4]cashflow.'!$U$48</f>
        <v>-996</v>
      </c>
      <c r="F45" s="108"/>
      <c r="G45" s="215">
        <f>SUM(G37:G44)</f>
        <v>-3476.8831499999987</v>
      </c>
      <c r="H45" s="28"/>
      <c r="I45" s="50">
        <f>SUM(I37:I44)</f>
        <v>-11735</v>
      </c>
      <c r="J45" s="50">
        <f>'CF12.09'!D49/1000</f>
        <v>3761.747</v>
      </c>
      <c r="K45" s="195"/>
      <c r="L45" s="19"/>
      <c r="M45" s="100"/>
    </row>
    <row r="46" spans="2:12" s="51" customFormat="1" ht="14.25">
      <c r="B46" s="190"/>
      <c r="C46" s="19"/>
      <c r="D46" s="19"/>
      <c r="E46" s="21"/>
      <c r="F46" s="21"/>
      <c r="G46" s="211"/>
      <c r="H46" s="21"/>
      <c r="I46" s="21"/>
      <c r="J46" s="21"/>
      <c r="K46" s="185"/>
      <c r="L46" s="19"/>
    </row>
    <row r="47" spans="2:12" s="51" customFormat="1" ht="15" customHeight="1">
      <c r="B47" s="191" t="s">
        <v>75</v>
      </c>
      <c r="C47" s="25"/>
      <c r="D47" s="25"/>
      <c r="E47" s="21"/>
      <c r="F47" s="21"/>
      <c r="G47" s="206"/>
      <c r="H47" s="21"/>
      <c r="I47" s="21"/>
      <c r="J47" s="21"/>
      <c r="K47" s="187"/>
      <c r="L47" s="18"/>
    </row>
    <row r="48" spans="2:12" s="51" customFormat="1" ht="14.25" customHeight="1" hidden="1">
      <c r="B48" s="189" t="s">
        <v>186</v>
      </c>
      <c r="C48" s="18"/>
      <c r="D48" s="18"/>
      <c r="E48" s="21">
        <v>0</v>
      </c>
      <c r="F48" s="21"/>
      <c r="G48" s="206">
        <v>0</v>
      </c>
      <c r="H48" s="21"/>
      <c r="I48" s="21">
        <v>0</v>
      </c>
      <c r="J48" s="21">
        <f>'CF12.09'!D53/1000</f>
        <v>13320</v>
      </c>
      <c r="K48" s="185"/>
      <c r="L48" s="19"/>
    </row>
    <row r="49" spans="2:12" s="51" customFormat="1" ht="14.25" customHeight="1" hidden="1">
      <c r="B49" s="189" t="s">
        <v>187</v>
      </c>
      <c r="C49" s="18"/>
      <c r="D49" s="18"/>
      <c r="E49" s="21">
        <f>'[4]cashflow.'!$U$55</f>
        <v>-161.806</v>
      </c>
      <c r="F49" s="21"/>
      <c r="G49" s="206">
        <v>0</v>
      </c>
      <c r="H49" s="21"/>
      <c r="I49" s="21">
        <v>0</v>
      </c>
      <c r="J49" s="21">
        <f>'CF12.09'!D54/1000</f>
        <v>1785.884</v>
      </c>
      <c r="K49" s="185"/>
      <c r="L49" s="19"/>
    </row>
    <row r="50" spans="2:12" s="51" customFormat="1" ht="14.25" customHeight="1">
      <c r="B50" s="189" t="s">
        <v>9</v>
      </c>
      <c r="C50" s="18"/>
      <c r="D50" s="18"/>
      <c r="E50" s="21">
        <f>'[4]cashflow.'!$U$53</f>
        <v>-15</v>
      </c>
      <c r="F50" s="21"/>
      <c r="G50" s="211">
        <f>'[6]Cashflow0613'!$C$47</f>
        <v>-624.3929699999999</v>
      </c>
      <c r="H50" s="21"/>
      <c r="I50" s="21">
        <v>-655</v>
      </c>
      <c r="J50" s="21">
        <f>'CF12.09'!D56/1000</f>
        <v>-26.016</v>
      </c>
      <c r="K50" s="185"/>
      <c r="L50" s="19"/>
    </row>
    <row r="51" spans="2:12" s="51" customFormat="1" ht="14.25" customHeight="1">
      <c r="B51" s="189" t="s">
        <v>77</v>
      </c>
      <c r="C51" s="18"/>
      <c r="D51" s="18"/>
      <c r="E51" s="21">
        <f>'[4]cashflow.'!$U$54</f>
        <v>-440</v>
      </c>
      <c r="F51" s="21"/>
      <c r="G51" s="211">
        <f>'[6]Cashflow0613'!$C$52</f>
        <v>-67</v>
      </c>
      <c r="H51" s="21"/>
      <c r="I51" s="21">
        <v>-57</v>
      </c>
      <c r="J51" s="21">
        <f>'CF12.09'!D57/1000</f>
        <v>-63.273</v>
      </c>
      <c r="K51" s="185"/>
      <c r="L51" s="19"/>
    </row>
    <row r="52" spans="2:12" s="51" customFormat="1" ht="14.25" customHeight="1">
      <c r="B52" s="189" t="s">
        <v>224</v>
      </c>
      <c r="C52" s="18"/>
      <c r="D52" s="18"/>
      <c r="E52" s="21">
        <f>'[4]cashflow.'!$U$51</f>
        <v>-1007.242</v>
      </c>
      <c r="F52" s="21"/>
      <c r="G52" s="211">
        <f>'[6]Cashflow0613'!$C$49</f>
        <v>-275</v>
      </c>
      <c r="H52" s="28"/>
      <c r="I52" s="28">
        <v>1159</v>
      </c>
      <c r="J52" s="21">
        <f>'CF12.09'!D60/1000</f>
        <v>-2812.839</v>
      </c>
      <c r="K52" s="185"/>
      <c r="L52" s="19"/>
    </row>
    <row r="53" spans="2:12" s="51" customFormat="1" ht="14.25" customHeight="1">
      <c r="B53" s="189" t="s">
        <v>225</v>
      </c>
      <c r="C53" s="18"/>
      <c r="D53" s="18"/>
      <c r="E53" s="21"/>
      <c r="F53" s="21"/>
      <c r="G53" s="211">
        <f>'[6]Cashflow0613'!$C$51</f>
        <v>-3355</v>
      </c>
      <c r="H53" s="28"/>
      <c r="I53" s="28">
        <v>-2405</v>
      </c>
      <c r="J53" s="21"/>
      <c r="K53" s="185"/>
      <c r="L53" s="19"/>
    </row>
    <row r="54" spans="2:12" s="51" customFormat="1" ht="14.25" customHeight="1">
      <c r="B54" s="189" t="s">
        <v>245</v>
      </c>
      <c r="C54" s="18"/>
      <c r="D54" s="18"/>
      <c r="E54" s="21"/>
      <c r="F54" s="21"/>
      <c r="G54" s="211">
        <f>'[6]Cashflow0613'!$C$44</f>
        <v>-32.1853</v>
      </c>
      <c r="H54" s="28"/>
      <c r="I54" s="28">
        <v>0</v>
      </c>
      <c r="J54" s="21"/>
      <c r="K54" s="185"/>
      <c r="L54" s="19"/>
    </row>
    <row r="55" spans="2:12" s="51" customFormat="1" ht="14.25" customHeight="1" thickBot="1">
      <c r="B55" s="202" t="s">
        <v>244</v>
      </c>
      <c r="C55" s="18"/>
      <c r="D55" s="18"/>
      <c r="E55" s="22"/>
      <c r="F55" s="28"/>
      <c r="G55" s="216">
        <f>'[6]Cashflow0613'!$C$46</f>
        <v>-1598</v>
      </c>
      <c r="H55" s="28"/>
      <c r="I55" s="28">
        <v>0</v>
      </c>
      <c r="J55" s="22"/>
      <c r="K55" s="185"/>
      <c r="L55" s="19"/>
    </row>
    <row r="56" spans="2:12" s="51" customFormat="1" ht="14.25" customHeight="1" thickBot="1">
      <c r="B56" s="202"/>
      <c r="C56" s="18"/>
      <c r="D56" s="18"/>
      <c r="E56" s="22"/>
      <c r="F56" s="28"/>
      <c r="G56" s="214"/>
      <c r="H56" s="28"/>
      <c r="I56" s="22"/>
      <c r="J56" s="22"/>
      <c r="K56" s="185"/>
      <c r="L56" s="19"/>
    </row>
    <row r="57" spans="3:12" s="51" customFormat="1" ht="18" customHeight="1" thickBot="1">
      <c r="C57" s="20"/>
      <c r="D57" s="20"/>
      <c r="E57" s="53">
        <f>'[4]cashflow.'!$U$63</f>
        <v>-1267.048</v>
      </c>
      <c r="F57" s="165"/>
      <c r="G57" s="217">
        <f>SUM(G48:G55)+1</f>
        <v>-5950.57827</v>
      </c>
      <c r="H57" s="28"/>
      <c r="I57" s="50">
        <f>SUM(I48:I55)</f>
        <v>-1958</v>
      </c>
      <c r="J57" s="50">
        <f>'CF12.09'!D63/1000</f>
        <v>4006.676</v>
      </c>
      <c r="K57" s="185"/>
      <c r="L57" s="19"/>
    </row>
    <row r="58" spans="2:12" s="51" customFormat="1" ht="14.25">
      <c r="B58" s="45"/>
      <c r="C58" s="18"/>
      <c r="D58" s="18"/>
      <c r="E58" s="99"/>
      <c r="F58" s="99"/>
      <c r="G58" s="208"/>
      <c r="H58" s="28"/>
      <c r="I58" s="28"/>
      <c r="J58" s="99"/>
      <c r="K58" s="185"/>
      <c r="L58" s="19"/>
    </row>
    <row r="59" spans="2:12" s="51" customFormat="1" ht="14.25" customHeight="1">
      <c r="B59" s="191" t="s">
        <v>139</v>
      </c>
      <c r="C59" s="18"/>
      <c r="D59" s="18"/>
      <c r="E59" s="21">
        <f>'[4]cashflow.'!$U$65</f>
        <v>-2883.639399999992</v>
      </c>
      <c r="F59" s="21"/>
      <c r="G59" s="211">
        <f>G33+G45+G57</f>
        <v>-8755.732233805044</v>
      </c>
      <c r="H59" s="28"/>
      <c r="I59" s="28">
        <f>I33+I45+I57</f>
        <v>-7190</v>
      </c>
      <c r="J59" s="21">
        <f>'CF12.09'!D65/1000</f>
        <v>18799.987</v>
      </c>
      <c r="K59" s="28"/>
      <c r="L59" s="19"/>
    </row>
    <row r="60" spans="2:12" s="51" customFormat="1" ht="14.25" customHeight="1">
      <c r="B60" s="191"/>
      <c r="C60" s="18"/>
      <c r="D60" s="18"/>
      <c r="E60" s="21"/>
      <c r="F60" s="21"/>
      <c r="G60" s="211"/>
      <c r="H60" s="28"/>
      <c r="I60" s="28"/>
      <c r="J60" s="21"/>
      <c r="K60" s="28"/>
      <c r="L60" s="19"/>
    </row>
    <row r="61" spans="2:12" s="51" customFormat="1" ht="14.25" customHeight="1">
      <c r="B61" s="191" t="s">
        <v>250</v>
      </c>
      <c r="C61" s="18"/>
      <c r="D61" s="18"/>
      <c r="E61" s="21"/>
      <c r="F61" s="21"/>
      <c r="G61" s="211">
        <f>'[6]Cashflow0613'!$C$58</f>
        <v>5.426444559994707</v>
      </c>
      <c r="H61" s="28"/>
      <c r="I61" s="28">
        <v>0</v>
      </c>
      <c r="J61" s="21"/>
      <c r="K61" s="28"/>
      <c r="L61" s="19"/>
    </row>
    <row r="62" spans="2:12" s="51" customFormat="1" ht="14.25">
      <c r="B62" s="189"/>
      <c r="C62" s="19"/>
      <c r="D62" s="19"/>
      <c r="E62" s="21"/>
      <c r="F62" s="21"/>
      <c r="G62" s="211"/>
      <c r="H62" s="28"/>
      <c r="I62" s="28"/>
      <c r="J62" s="21"/>
      <c r="K62" s="185"/>
      <c r="L62" s="19"/>
    </row>
    <row r="63" spans="2:12" s="51" customFormat="1" ht="14.25" customHeight="1" thickBot="1">
      <c r="B63" s="451" t="s">
        <v>100</v>
      </c>
      <c r="C63" s="20"/>
      <c r="D63" s="20"/>
      <c r="E63" s="22">
        <f>'[4]cashflow.'!$U$67</f>
        <v>18800</v>
      </c>
      <c r="F63" s="28"/>
      <c r="G63" s="214">
        <f>'[5]Cashflow0313'!$C$57</f>
        <v>11027.686000000003</v>
      </c>
      <c r="H63" s="28"/>
      <c r="I63" s="22">
        <v>32961</v>
      </c>
      <c r="J63" s="22">
        <f>'CF12.09'!D68/1000</f>
        <v>0.002</v>
      </c>
      <c r="K63" s="185"/>
      <c r="L63" s="19"/>
    </row>
    <row r="64" spans="2:12" s="51" customFormat="1" ht="14.25">
      <c r="B64" s="451"/>
      <c r="C64" s="20"/>
      <c r="D64" s="20"/>
      <c r="E64" s="99"/>
      <c r="F64" s="99"/>
      <c r="G64" s="218"/>
      <c r="H64" s="28"/>
      <c r="I64" s="28"/>
      <c r="J64" s="99"/>
      <c r="K64" s="185"/>
      <c r="L64" s="19"/>
    </row>
    <row r="65" spans="2:12" s="51" customFormat="1" ht="15.75" thickBot="1">
      <c r="B65" s="451" t="s">
        <v>131</v>
      </c>
      <c r="C65" s="20"/>
      <c r="D65" s="19"/>
      <c r="E65" s="107">
        <f>'[4]cashflow.'!$U$69</f>
        <v>15916.360600000007</v>
      </c>
      <c r="F65" s="108"/>
      <c r="G65" s="219">
        <f>SUM(G59:G63)</f>
        <v>2277.3802107549545</v>
      </c>
      <c r="H65" s="108"/>
      <c r="I65" s="107">
        <f>SUM(I59:I63)</f>
        <v>25771</v>
      </c>
      <c r="J65" s="107">
        <f>'CF12.09'!D70/1000</f>
        <v>18799.989</v>
      </c>
      <c r="K65" s="185"/>
      <c r="L65" s="19"/>
    </row>
    <row r="66" spans="2:11" s="51" customFormat="1" ht="15" thickTop="1">
      <c r="B66" s="451"/>
      <c r="G66" s="209"/>
      <c r="H66" s="28"/>
      <c r="I66" s="28"/>
      <c r="K66" s="174"/>
    </row>
    <row r="67" spans="2:11" s="51" customFormat="1" ht="14.25">
      <c r="B67" s="12"/>
      <c r="G67" s="209"/>
      <c r="H67" s="28"/>
      <c r="I67" s="28"/>
      <c r="K67" s="174"/>
    </row>
    <row r="68" spans="2:11" s="51" customFormat="1" ht="14.25">
      <c r="B68" s="2" t="s">
        <v>96</v>
      </c>
      <c r="G68" s="209"/>
      <c r="H68" s="28"/>
      <c r="I68" s="28"/>
      <c r="K68" s="174"/>
    </row>
    <row r="69" spans="2:11" s="51" customFormat="1" ht="14.25">
      <c r="B69" s="12" t="s">
        <v>241</v>
      </c>
      <c r="E69" s="99">
        <f>'[4]cashflow.'!$N$75</f>
        <v>29350</v>
      </c>
      <c r="F69" s="99"/>
      <c r="G69" s="218">
        <f>'[6]Cashflow0613'!$C$62</f>
        <v>7811</v>
      </c>
      <c r="H69" s="28"/>
      <c r="I69" s="28">
        <v>31451</v>
      </c>
      <c r="J69" s="21">
        <f>'CF12.09'!D83/1000+'CF12.09'!D85/1000</f>
        <v>28249.176</v>
      </c>
      <c r="K69" s="174"/>
    </row>
    <row r="70" spans="2:11" s="51" customFormat="1" ht="14.25">
      <c r="B70" s="12" t="s">
        <v>82</v>
      </c>
      <c r="E70" s="99">
        <f>'[4]cashflow.'!$N$76</f>
        <v>3944</v>
      </c>
      <c r="F70" s="99"/>
      <c r="G70" s="218">
        <f>'[6]Cashflow0613'!$C$63</f>
        <v>16318</v>
      </c>
      <c r="H70" s="28"/>
      <c r="I70" s="28">
        <v>10937</v>
      </c>
      <c r="J70" s="21">
        <f>'CF12.09'!D86/1000</f>
        <v>3199.333</v>
      </c>
      <c r="K70" s="174"/>
    </row>
    <row r="71" spans="2:11" s="51" customFormat="1" ht="15" thickBot="1">
      <c r="B71" s="12" t="s">
        <v>83</v>
      </c>
      <c r="E71" s="117">
        <f>'[4]cashflow.'!$N$77</f>
        <v>-8541</v>
      </c>
      <c r="F71" s="166"/>
      <c r="G71" s="220">
        <f>'[6]Cashflow0613'!$C$66</f>
        <v>-9086</v>
      </c>
      <c r="H71" s="54"/>
      <c r="I71" s="173">
        <v>-3669</v>
      </c>
      <c r="J71" s="22">
        <f>'CF12.09'!D87/1000</f>
        <v>-3959.186</v>
      </c>
      <c r="K71" s="174"/>
    </row>
    <row r="72" spans="2:11" s="51" customFormat="1" ht="14.25">
      <c r="B72" s="12"/>
      <c r="E72" s="99">
        <f>'[4]cashflow.'!$N$78</f>
        <v>24753</v>
      </c>
      <c r="F72" s="99"/>
      <c r="G72" s="218">
        <f>SUM(G69:G71)</f>
        <v>15043</v>
      </c>
      <c r="I72" s="99">
        <f>SUM(I69:I71)</f>
        <v>38719</v>
      </c>
      <c r="J72" s="21">
        <f>'CF12.09'!D89/1000</f>
        <v>27489.323</v>
      </c>
      <c r="K72" s="174"/>
    </row>
    <row r="73" spans="2:11" s="51" customFormat="1" ht="14.25">
      <c r="B73" s="43" t="s">
        <v>134</v>
      </c>
      <c r="C73" s="101"/>
      <c r="E73" s="99">
        <f>'[4]cashflow.'!$N$79</f>
        <v>-8843</v>
      </c>
      <c r="F73" s="99"/>
      <c r="G73" s="218">
        <f>'[6]Cashflow0613'!$C$67</f>
        <v>-12766</v>
      </c>
      <c r="I73" s="174">
        <v>-12948</v>
      </c>
      <c r="J73" s="21">
        <f>'CF12.09'!D91/1000</f>
        <v>-8689.334</v>
      </c>
      <c r="K73" s="174"/>
    </row>
    <row r="74" spans="2:11" s="51" customFormat="1" ht="15.75" thickBot="1">
      <c r="B74" s="12"/>
      <c r="E74" s="109">
        <f>'[4]cashflow.'!$N$80</f>
        <v>15910</v>
      </c>
      <c r="F74" s="167"/>
      <c r="G74" s="221">
        <f>SUM(G72:G73)</f>
        <v>2277</v>
      </c>
      <c r="H74" s="108"/>
      <c r="I74" s="172">
        <f>SUM(I72:I73)</f>
        <v>25771</v>
      </c>
      <c r="J74" s="162">
        <f>'CF12.09'!D93/1000</f>
        <v>18799.989</v>
      </c>
      <c r="K74" s="174"/>
    </row>
    <row r="75" spans="7:11" s="51" customFormat="1" ht="15" thickTop="1">
      <c r="G75" s="210"/>
      <c r="H75" s="28"/>
      <c r="I75" s="28"/>
      <c r="K75" s="174"/>
    </row>
    <row r="76" spans="2:9" s="51" customFormat="1" ht="14.25" hidden="1">
      <c r="B76" s="51" t="s">
        <v>123</v>
      </c>
      <c r="E76" s="100"/>
      <c r="F76" s="100"/>
      <c r="G76" s="184"/>
      <c r="H76" s="28"/>
      <c r="I76" s="28"/>
    </row>
    <row r="77" s="51" customFormat="1" ht="12.75" customHeight="1">
      <c r="G77" s="180"/>
    </row>
    <row r="78" spans="2:7" s="51" customFormat="1" ht="16.5">
      <c r="B78" s="118" t="s">
        <v>219</v>
      </c>
      <c r="G78" s="180"/>
    </row>
    <row r="79" spans="2:7" s="51" customFormat="1" ht="16.5">
      <c r="B79" s="118" t="s">
        <v>248</v>
      </c>
      <c r="G79" s="180"/>
    </row>
    <row r="80" spans="2:7" s="51" customFormat="1" ht="16.5">
      <c r="B80" s="171" t="s">
        <v>99</v>
      </c>
      <c r="G80" s="180"/>
    </row>
  </sheetData>
  <sheetProtection/>
  <mergeCells count="6">
    <mergeCell ref="B63:B64"/>
    <mergeCell ref="B65:B66"/>
    <mergeCell ref="E5:E8"/>
    <mergeCell ref="J5:J8"/>
    <mergeCell ref="G5:G8"/>
    <mergeCell ref="I5:I8"/>
  </mergeCells>
  <printOptions/>
  <pageMargins left="0.52" right="0.17" top="0.22" bottom="0.16" header="0.17" footer="0.1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Nur Mazwin</cp:lastModifiedBy>
  <cp:lastPrinted>2015-11-12T08:45:09Z</cp:lastPrinted>
  <dcterms:created xsi:type="dcterms:W3CDTF">2002-11-05T00:02:16Z</dcterms:created>
  <dcterms:modified xsi:type="dcterms:W3CDTF">2015-11-12T08:45:14Z</dcterms:modified>
  <cp:category/>
  <cp:version/>
  <cp:contentType/>
  <cp:contentStatus/>
</cp:coreProperties>
</file>